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FD6EA1C-1853-4C6E-AC45-ADD7A4CA731C}" xr6:coauthVersionLast="47" xr6:coauthVersionMax="47" xr10:uidLastSave="{00000000-0000-0000-0000-000000000000}"/>
  <bookViews>
    <workbookView xWindow="28680" yWindow="-120" windowWidth="29040" windowHeight="15720" xr2:uid="{00000000-000D-0000-FFFF-FFFF00000000}"/>
  </bookViews>
  <sheets>
    <sheet name="How to use this workbook" sheetId="1" r:id="rId1"/>
    <sheet name="Air Safety" sheetId="2" r:id="rId2"/>
    <sheet name="Beaver" sheetId="9" r:id="rId3"/>
    <sheet name="Birds - Other" sheetId="10" r:id="rId4"/>
    <sheet name="Fish-eating Birds" sheetId="7" r:id="rId5"/>
    <sheet name="Geese" sheetId="5" r:id="rId6"/>
    <sheet name="Gulls" sheetId="4" r:id="rId7"/>
    <sheet name="Hare" sheetId="8" r:id="rId8"/>
    <sheet name="Health and Safety" sheetId="3" r:id="rId9"/>
    <sheet name="Hunting with Dogs" sheetId="14" r:id="rId10"/>
    <sheet name="Raven" sheetId="6" r:id="rId11"/>
    <sheet name="Red Grouse" sheetId="12" r:id="rId12"/>
    <sheet name="Other" sheetId="1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G98" i="2" l="1"/>
  <c r="G80" i="3" l="1"/>
  <c r="G21" i="8"/>
  <c r="G30" i="7"/>
  <c r="G29" i="5"/>
  <c r="G99" i="11" l="1"/>
  <c r="G73" i="10"/>
  <c r="H22" i="4"/>
  <c r="H20" i="5"/>
  <c r="H20" i="7"/>
  <c r="Q10" i="4"/>
  <c r="R22" i="4"/>
  <c r="F99" i="11"/>
  <c r="F98" i="2" l="1"/>
  <c r="F73" i="10"/>
  <c r="G20" i="7"/>
  <c r="G20" i="5"/>
  <c r="G22" i="4"/>
  <c r="Q22" i="4"/>
  <c r="Q32" i="4"/>
  <c r="G32" i="4"/>
  <c r="F53" i="3"/>
  <c r="F80" i="3"/>
  <c r="F66" i="11"/>
  <c r="E99" i="11"/>
  <c r="D99" i="11"/>
  <c r="C99" i="11"/>
  <c r="B99" i="11"/>
  <c r="E66" i="11"/>
  <c r="D66" i="11"/>
  <c r="C66" i="11"/>
  <c r="B66" i="11"/>
  <c r="F33" i="11"/>
  <c r="C33" i="11"/>
  <c r="E73" i="10"/>
  <c r="D73" i="10"/>
  <c r="C73" i="10"/>
  <c r="B73" i="10"/>
  <c r="B48" i="10"/>
  <c r="E21" i="8"/>
  <c r="D21" i="8"/>
  <c r="C21" i="8"/>
  <c r="B21" i="8"/>
  <c r="F21" i="8"/>
  <c r="E14" i="8"/>
  <c r="D14" i="8"/>
  <c r="C14" i="8"/>
  <c r="B14" i="8"/>
  <c r="F14" i="8"/>
  <c r="E7" i="8"/>
  <c r="F7" i="8"/>
  <c r="E30" i="7"/>
  <c r="D30" i="7"/>
  <c r="C30" i="7"/>
  <c r="B30" i="7"/>
  <c r="F30" i="7"/>
  <c r="E20" i="7"/>
  <c r="D20" i="7"/>
  <c r="C20" i="7"/>
  <c r="B20" i="7"/>
  <c r="F20" i="7"/>
  <c r="F29" i="5"/>
  <c r="E29" i="5"/>
  <c r="D29" i="5"/>
  <c r="C29" i="5"/>
  <c r="B29" i="5"/>
  <c r="F20" i="5"/>
  <c r="E20" i="5"/>
  <c r="D20" i="5"/>
  <c r="C20" i="5"/>
  <c r="B20" i="5"/>
  <c r="B9" i="5"/>
  <c r="F9" i="5"/>
  <c r="P32" i="4"/>
  <c r="O32" i="4"/>
  <c r="N32" i="4"/>
  <c r="M32" i="4"/>
  <c r="L32" i="4"/>
  <c r="F32" i="4"/>
  <c r="E32" i="4"/>
  <c r="D32" i="4"/>
  <c r="C32" i="4"/>
  <c r="B32" i="4"/>
  <c r="P22" i="4"/>
  <c r="O22" i="4"/>
  <c r="N22" i="4"/>
  <c r="M22" i="4"/>
  <c r="L22" i="4"/>
  <c r="F22" i="4"/>
  <c r="E22" i="4"/>
  <c r="D22" i="4"/>
  <c r="C22" i="4"/>
  <c r="B22" i="4"/>
  <c r="P10" i="4"/>
  <c r="B10" i="4"/>
  <c r="E80" i="3"/>
  <c r="D80" i="3"/>
  <c r="C80" i="3"/>
  <c r="B80" i="3"/>
  <c r="E53" i="3"/>
  <c r="D53" i="3"/>
  <c r="C53" i="3"/>
  <c r="B53" i="3"/>
  <c r="E98" i="2"/>
  <c r="D98" i="2"/>
  <c r="C98" i="2"/>
</calcChain>
</file>

<file path=xl/sharedStrings.xml><?xml version="1.0" encoding="utf-8"?>
<sst xmlns="http://schemas.openxmlformats.org/spreadsheetml/2006/main" count="1714" uniqueCount="218">
  <si>
    <t>The five main pieces of legislation to protect Scotland’s wildlife set out when licences may be granted to permit otherwise illegal activities.</t>
  </si>
  <si>
    <t>Species licensing legislation</t>
  </si>
  <si>
    <t>NatureScot can licence, for certain specific purposes, actions that would otherwise constitute an offence against a protected species. These licences are grouped into licence types based on species and/or activities.</t>
  </si>
  <si>
    <t>NatureScot licensing process</t>
  </si>
  <si>
    <t>This Workbook</t>
  </si>
  <si>
    <t>The reporting method used here is an interim measure for publishing the data while the NatureScot online licensing system is developed. Data is extracted from the old database which was not built for this reporting purpose. So, if any clarity is required please get in contact at licensing@nature.scot</t>
  </si>
  <si>
    <t>Each table has built-in filters to make visualising the relevant data easier. You can filter the data by selecting the arrow next to each heading type.</t>
  </si>
  <si>
    <t>All personal details and identifiers have been removed to ensure compliance with GDPR, and no sensitive environmental details such as the location of nesting or breeding sites are included.</t>
  </si>
  <si>
    <t>Licence data is split into tabs based on the licence type.</t>
  </si>
  <si>
    <t>Summary of bird licences issued for air safety</t>
  </si>
  <si>
    <t>Species</t>
  </si>
  <si>
    <t>Canada Goose</t>
  </si>
  <si>
    <t>GL04</t>
  </si>
  <si>
    <t>*</t>
  </si>
  <si>
    <t>Greylag Goose</t>
  </si>
  <si>
    <t>Mallard</t>
  </si>
  <si>
    <t>Feral pigeon</t>
  </si>
  <si>
    <t>Stock Dove</t>
  </si>
  <si>
    <t>Woodpigeon</t>
  </si>
  <si>
    <t>Curlew</t>
  </si>
  <si>
    <t>Lapwing</t>
  </si>
  <si>
    <t>Oystercatcher</t>
  </si>
  <si>
    <t>Black-headed Gull</t>
  </si>
  <si>
    <t>Common Gull</t>
  </si>
  <si>
    <t>Great Black-backed Gull</t>
  </si>
  <si>
    <t>Herring Gull</t>
  </si>
  <si>
    <t>GL04/ 1</t>
  </si>
  <si>
    <t>Lesser Black-backed Gull</t>
  </si>
  <si>
    <t>Carrion crow</t>
  </si>
  <si>
    <t>Hooded Crow</t>
  </si>
  <si>
    <t>Jackdaw</t>
  </si>
  <si>
    <t>Magpie</t>
  </si>
  <si>
    <t>Rook</t>
  </si>
  <si>
    <t>Starling</t>
  </si>
  <si>
    <t>Scottish Natural Heritage General Licence No. 04/2019 permitted operators to kill or take certain bird species to protect air safety up to 31 January 2020</t>
  </si>
  <si>
    <t>Number of licences issued 2019</t>
  </si>
  <si>
    <t>Number of licences issued 2020</t>
  </si>
  <si>
    <t>Number of licences issued 2021</t>
  </si>
  <si>
    <t>Number of licences issued 2022</t>
  </si>
  <si>
    <t>Number of licences issued 2023</t>
  </si>
  <si>
    <t>Total</t>
  </si>
  <si>
    <t>Number of individuals permitted to be killed 2019</t>
  </si>
  <si>
    <t>Number of individuals permitted to be killed 2020</t>
  </si>
  <si>
    <t>Number of individuals permitted to be killed 2021</t>
  </si>
  <si>
    <t>Number of individuals permitted to be killed 2022</t>
  </si>
  <si>
    <t>Number of individuals permitted to be killed 2023</t>
  </si>
  <si>
    <t>Number of licences issued by year</t>
  </si>
  <si>
    <t>Number of individuals permitted to be killed by year</t>
  </si>
  <si>
    <t>Number of individuals taken reported on licence return 2019</t>
  </si>
  <si>
    <t>Number of individuals taken reported on licence return 2020</t>
  </si>
  <si>
    <t>Number of individuals taken reported on licence return 2021</t>
  </si>
  <si>
    <t>Number of individuals taken reported on licence return 2022</t>
  </si>
  <si>
    <t>Number of individuals taken reported on licence return 2023</t>
  </si>
  <si>
    <t>Number of individuals taken reported on licence return by year</t>
  </si>
  <si>
    <t>Summary for licences issued for health and safety</t>
  </si>
  <si>
    <t>Collared Dove</t>
  </si>
  <si>
    <t>Blue Tit</t>
  </si>
  <si>
    <t>Swallow</t>
  </si>
  <si>
    <t>Blackbird</t>
  </si>
  <si>
    <t>Robin</t>
  </si>
  <si>
    <t>Tree Sparrow</t>
  </si>
  <si>
    <t>House Sparrow</t>
  </si>
  <si>
    <t>Grey Wagtail</t>
  </si>
  <si>
    <t>Pied Wagtail</t>
  </si>
  <si>
    <t>N/A</t>
  </si>
  <si>
    <t>As many as required - air safety licences do not include a bag limit because they only authorise the  killing birds for the purpose of preserving air safety.</t>
  </si>
  <si>
    <t>Summary for licences issued for lethal control of gulls</t>
  </si>
  <si>
    <t>Number of licences issued by year for adults</t>
  </si>
  <si>
    <t>Black-headed gull</t>
  </si>
  <si>
    <t xml:space="preserve">GL03 </t>
  </si>
  <si>
    <t>Number of licences issued by year for chicks</t>
  </si>
  <si>
    <t>From 1st April 2020 gull species were removed from our General Licences and since then we have issued individual licences to manage gulls where they are causing public health or safety issues.</t>
  </si>
  <si>
    <t>Changes to gull public health or safety licences - August 2021</t>
  </si>
  <si>
    <t>Number of individuals permitted to be killed by year for adults</t>
  </si>
  <si>
    <t>Number of individuals permitted to be killed by year for chicks</t>
  </si>
  <si>
    <t>Number of individuals taken reported on licence return by year for adults</t>
  </si>
  <si>
    <t>Number of individuals taken reported on licence return by year for chicks</t>
  </si>
  <si>
    <t>Summary for licences issued for  control of geese</t>
  </si>
  <si>
    <t>Barnacle Goose</t>
  </si>
  <si>
    <t>Pink-footed Goose</t>
  </si>
  <si>
    <t>GL02</t>
  </si>
  <si>
    <t>General Licence 02 allows the killing or taking of certain birds for the prevention of serious damage to livestock, foodstuffs for livestock, crops, vegetables and fruit</t>
  </si>
  <si>
    <t>A review of General Licences concluded that from 1 April 2020 the control of greylag geese should be extended to year-round control, to help minimise widespread agricultural damage to grass pasture and emerging crops.</t>
  </si>
  <si>
    <t>Review</t>
  </si>
  <si>
    <t>Summary for licences issued for  control of raven</t>
  </si>
  <si>
    <t>Raven</t>
  </si>
  <si>
    <t>Goosander</t>
  </si>
  <si>
    <t>Red-breasted Merganser</t>
  </si>
  <si>
    <t>Cormorant</t>
  </si>
  <si>
    <t>Grey Heron</t>
  </si>
  <si>
    <t>Summary for licences issued for control of hares</t>
  </si>
  <si>
    <t>Mountain Hare</t>
  </si>
  <si>
    <t>Summary for licences issued for control of fish-eating birds</t>
  </si>
  <si>
    <t>Brown Hare</t>
  </si>
  <si>
    <t>Summary of licences for lethal control of beavers</t>
  </si>
  <si>
    <t>Beaver</t>
  </si>
  <si>
    <t xml:space="preserve">As many as required - beaver licences do not include a bag limit </t>
  </si>
  <si>
    <t>Summary for bird licences issued for other reasons</t>
  </si>
  <si>
    <t>Buzzard</t>
  </si>
  <si>
    <t>Gannet</t>
  </si>
  <si>
    <t>Meadow Pipit</t>
  </si>
  <si>
    <t>Pheasant</t>
  </si>
  <si>
    <t>Skylark</t>
  </si>
  <si>
    <t>Song Thrush</t>
  </si>
  <si>
    <t xml:space="preserve">As many as required - some licence types do not include a bag limit </t>
  </si>
  <si>
    <t>5 and *</t>
  </si>
  <si>
    <t>15 and *</t>
  </si>
  <si>
    <t>10 and *</t>
  </si>
  <si>
    <t>All shrew species</t>
  </si>
  <si>
    <t>Hedgehog</t>
  </si>
  <si>
    <t>Powan</t>
  </si>
  <si>
    <t>Allis Shad</t>
  </si>
  <si>
    <t>Twaite Shad</t>
  </si>
  <si>
    <t>Common Lizard</t>
  </si>
  <si>
    <t>Natterjack Toad</t>
  </si>
  <si>
    <t>Chequered Skipper</t>
  </si>
  <si>
    <t>Large Heath</t>
  </si>
  <si>
    <t>Marsh Fritillary</t>
  </si>
  <si>
    <t>Mountain Ringlet</t>
  </si>
  <si>
    <t>New Forest Burnet</t>
  </si>
  <si>
    <t>Northern Brown Argus</t>
  </si>
  <si>
    <t>Pearl Bordered Fritillary</t>
  </si>
  <si>
    <t>Small Blue</t>
  </si>
  <si>
    <t>White Letter Hairstreak</t>
  </si>
  <si>
    <t>White-clawed crayfish</t>
  </si>
  <si>
    <t>Fairy Shrimp</t>
  </si>
  <si>
    <t>Tadpole Shrimp</t>
  </si>
  <si>
    <t>Fan Mussel</t>
  </si>
  <si>
    <t>Freshwater Pearl Mussel</t>
  </si>
  <si>
    <t>Glutinous Snail</t>
  </si>
  <si>
    <t>Lagoon Snail</t>
  </si>
  <si>
    <t>Thyasira gouldi</t>
  </si>
  <si>
    <t>Lagoon Sea-slug</t>
  </si>
  <si>
    <t>Medicinal Leech</t>
  </si>
  <si>
    <t>Total number of licences</t>
  </si>
  <si>
    <t>6</t>
  </si>
  <si>
    <t>52</t>
  </si>
  <si>
    <t>57</t>
  </si>
  <si>
    <t>41</t>
  </si>
  <si>
    <t>39</t>
  </si>
  <si>
    <t>25</t>
  </si>
  <si>
    <t>28</t>
  </si>
  <si>
    <t>9</t>
  </si>
  <si>
    <t>47</t>
  </si>
  <si>
    <t>110</t>
  </si>
  <si>
    <t>46</t>
  </si>
  <si>
    <t>27</t>
  </si>
  <si>
    <t>5</t>
  </si>
  <si>
    <t>1</t>
  </si>
  <si>
    <t>2</t>
  </si>
  <si>
    <t>One project or location may have multiple licence numbers for the same activity as a new licence number is generated each time a licence is amended or renewed. Thus the number of licences issued may appear inflated due to minor changes to an existing licence, such as different licence holders or date extensions, appearing as a new licence. Additionally, one licence may cover multiple species and so will appear in the data multiple times, the total number of licences issued for each year is shown at the bottom of each 'Number of licences issued by year' table.</t>
  </si>
  <si>
    <t>Number of licences issued 2024</t>
  </si>
  <si>
    <t>Number of individuals permitted to be killed 2024</t>
  </si>
  <si>
    <t>Number of individuals taken reported on licence return 2024</t>
  </si>
  <si>
    <t>As Required</t>
  </si>
  <si>
    <t>&gt;2147</t>
  </si>
  <si>
    <t>&gt;2051</t>
  </si>
  <si>
    <t>&gt;25</t>
  </si>
  <si>
    <t>&gt;1</t>
  </si>
  <si>
    <t>24</t>
  </si>
  <si>
    <t>23</t>
  </si>
  <si>
    <t>3</t>
  </si>
  <si>
    <t>4</t>
  </si>
  <si>
    <t>31</t>
  </si>
  <si>
    <t>30</t>
  </si>
  <si>
    <t>8</t>
  </si>
  <si>
    <t>101</t>
  </si>
  <si>
    <t>Grey Partridge</t>
  </si>
  <si>
    <t>Swift</t>
  </si>
  <si>
    <t>Any wild bird</t>
  </si>
  <si>
    <t>Little Grebe</t>
  </si>
  <si>
    <t>Summary for licences issued for science, research and education, or conservation, or other</t>
  </si>
  <si>
    <t>Rhizophagus grandis</t>
  </si>
  <si>
    <t>As required</t>
  </si>
  <si>
    <t>14</t>
  </si>
  <si>
    <t>Number of licences issued 2025</t>
  </si>
  <si>
    <t>Number of individuals permitted to be killed 2025</t>
  </si>
  <si>
    <t>Number of individuals taken reported on licence return 2025</t>
  </si>
  <si>
    <t>Data below only includes gull species where they have been permitted on licences with non-gull species. The majority of the gull health and saefty information sits within the 'Gull' tab.</t>
  </si>
  <si>
    <t>Red grouse</t>
  </si>
  <si>
    <t>Red Grouse licences do not include a bag limit so no permitted numbers are given in this data</t>
  </si>
  <si>
    <t>Summary for licences issued for control of red grouse</t>
  </si>
  <si>
    <t>Summary for licences issued for control of wild mammals</t>
  </si>
  <si>
    <t>Hunting with dogs licences do not include a bag limit so no permitted numbers are given in this data</t>
  </si>
  <si>
    <t>Wild mammals</t>
  </si>
  <si>
    <t>26</t>
  </si>
  <si>
    <t>16</t>
  </si>
  <si>
    <t>0</t>
  </si>
  <si>
    <t xml:space="preserve">As many as required - hare licences for the purpose of preserving public health and safety may be issued without a  bag limit </t>
  </si>
  <si>
    <t>2905 and *</t>
  </si>
  <si>
    <t>Any wild bird not included in Schedule 1</t>
  </si>
  <si>
    <t>As many as required - some health and safety licences do not include a bag limit. In some instances this is because the licence is given for a set number of nests and any chicks they contain</t>
  </si>
  <si>
    <t>Sand martin</t>
  </si>
  <si>
    <t>Sand Martin</t>
  </si>
  <si>
    <t>14 and *</t>
  </si>
  <si>
    <t>&gt;500</t>
  </si>
  <si>
    <t>2 and *</t>
  </si>
  <si>
    <t>&gt;42</t>
  </si>
  <si>
    <t>Vendace</t>
  </si>
  <si>
    <t>vendace</t>
  </si>
  <si>
    <t>Grey heron</t>
  </si>
  <si>
    <t>Grey partridge</t>
  </si>
  <si>
    <t>Some air safety licences run for 2 years and so the numbers above may reflect numbers of birds shot over two years</t>
  </si>
  <si>
    <t>Shelduck</t>
  </si>
  <si>
    <t>98</t>
  </si>
  <si>
    <t>&gt;5002</t>
  </si>
  <si>
    <t>34</t>
  </si>
  <si>
    <t>&gt;52</t>
  </si>
  <si>
    <t>40</t>
  </si>
  <si>
    <t>Return data is submitted within one month of a licence expiring. Licences for 2025 may have outstanding returns so data is not yet summarised. Any overdue returns are investigated through our Compliance Monitoring Team.</t>
  </si>
  <si>
    <t xml:space="preserve">NatureScot Licensing </t>
  </si>
  <si>
    <t>Where licences run for multiple years, the return data is summarised as one value in the year that the licence expires. Therefore, the return information does not represent what was killed in that year, but rather the number that was reported to NatureScot in that year and may be a summary of multiple years of control.</t>
  </si>
  <si>
    <t>42</t>
  </si>
  <si>
    <t>2892 and *</t>
  </si>
  <si>
    <t>&gt;4599</t>
  </si>
  <si>
    <t>31 and *</t>
  </si>
  <si>
    <t>&gt;74</t>
  </si>
  <si>
    <t>This workbook contains summary data on licences issued for lethal control between 01 June 2019 and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</si>
</sst>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b/>
      <sz val="11"/>
      <color theme="1"/>
      <name val="Calibri"/>
      <family val="2"/>
      <scheme val="minor"/>
    </font>
    <font>
      <b/>
      <sz val="11"/>
      <name val="Calibri"/>
      <family val="2"/>
    </font>
    <font>
      <sz val="14"/>
      <name val="Calibri"/>
      <family val="2"/>
    </font>
    <font>
      <sz val="11"/>
      <name val="Calibri"/>
      <family val="2"/>
    </font>
    <font>
      <b/>
      <sz val="11"/>
      <color theme="0"/>
      <name val="Calibri"/>
      <family val="2"/>
    </font>
    <font>
      <b/>
      <sz val="10"/>
      <name val="Arial"/>
      <family val="2"/>
    </font>
    <font>
      <sz val="8"/>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3" tint="0.89999084444715716"/>
        <bgColor indexed="64"/>
      </patternFill>
    </fill>
    <fill>
      <patternFill patternType="solid">
        <fgColor rgb="FFEBEEF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92">
    <xf numFmtId="0" fontId="0" fillId="0" borderId="0" xfId="0"/>
    <xf numFmtId="0" fontId="1" fillId="0" borderId="0" xfId="0" applyFont="1" applyAlignment="1">
      <alignment wrapText="1"/>
    </xf>
    <xf numFmtId="0" fontId="0" fillId="0" borderId="0" xfId="0" applyAlignment="1">
      <alignment wrapText="1"/>
    </xf>
    <xf numFmtId="0" fontId="0" fillId="0" borderId="0" xfId="0" applyAlignment="1">
      <alignment vertical="center" wrapText="1"/>
    </xf>
    <xf numFmtId="0" fontId="2" fillId="0" borderId="0" xfId="1" applyAlignment="1">
      <alignment wrapText="1"/>
    </xf>
    <xf numFmtId="0" fontId="3" fillId="0" borderId="0" xfId="0" applyFont="1" applyAlignment="1">
      <alignment vertical="center" wrapText="1"/>
    </xf>
    <xf numFmtId="0" fontId="5" fillId="0" borderId="0" xfId="0" applyFont="1"/>
    <xf numFmtId="0" fontId="0" fillId="0" borderId="1" xfId="0" applyBorder="1"/>
    <xf numFmtId="0" fontId="0" fillId="0" borderId="3" xfId="0" applyBorder="1"/>
    <xf numFmtId="0" fontId="6"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7" xfId="0" applyBorder="1"/>
    <xf numFmtId="0" fontId="0" fillId="0" borderId="8" xfId="0" applyBorder="1"/>
    <xf numFmtId="0" fontId="0" fillId="0" borderId="9" xfId="0" applyBorder="1"/>
    <xf numFmtId="0" fontId="0" fillId="0" borderId="5" xfId="0" applyBorder="1" applyAlignment="1">
      <alignment wrapText="1"/>
    </xf>
    <xf numFmtId="0" fontId="0" fillId="0" borderId="4" xfId="0" applyBorder="1" applyAlignment="1">
      <alignment vertical="center" wrapText="1"/>
    </xf>
    <xf numFmtId="0" fontId="6" fillId="0" borderId="8" xfId="0" applyFont="1" applyBorder="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0" xfId="0" applyAlignment="1">
      <alignment horizontal="center" vertical="center" wrapText="1"/>
    </xf>
    <xf numFmtId="0" fontId="4" fillId="0" borderId="0" xfId="0" applyFont="1"/>
    <xf numFmtId="0" fontId="0" fillId="0" borderId="1" xfId="0" applyBorder="1" applyAlignment="1">
      <alignment horizontal="center"/>
    </xf>
    <xf numFmtId="0" fontId="6" fillId="0" borderId="0" xfId="0" applyFont="1" applyAlignment="1">
      <alignment horizontal="center" vertical="center" wrapText="1"/>
    </xf>
    <xf numFmtId="0" fontId="7" fillId="0" borderId="1" xfId="0" applyFont="1" applyBorder="1" applyAlignment="1">
      <alignment horizontal="right" vertical="center"/>
    </xf>
    <xf numFmtId="0" fontId="0" fillId="0" borderId="1" xfId="0" applyBorder="1" applyAlignment="1">
      <alignment horizontal="right"/>
    </xf>
    <xf numFmtId="0" fontId="0" fillId="0" borderId="8" xfId="0" applyBorder="1" applyAlignment="1">
      <alignment horizontal="right"/>
    </xf>
    <xf numFmtId="0" fontId="0" fillId="2" borderId="1" xfId="0" applyFill="1" applyBorder="1" applyAlignment="1">
      <alignment horizontal="right"/>
    </xf>
    <xf numFmtId="0" fontId="0" fillId="0" borderId="9" xfId="0" applyBorder="1" applyAlignment="1">
      <alignment horizontal="right"/>
    </xf>
    <xf numFmtId="0" fontId="0" fillId="0" borderId="4" xfId="0" applyBorder="1" applyAlignment="1">
      <alignment vertical="center"/>
    </xf>
    <xf numFmtId="0" fontId="0" fillId="0" borderId="3" xfId="0" applyBorder="1" applyAlignment="1">
      <alignment wrapText="1"/>
    </xf>
    <xf numFmtId="0" fontId="0" fillId="0" borderId="6" xfId="0" applyBorder="1" applyAlignment="1">
      <alignment wrapText="1"/>
    </xf>
    <xf numFmtId="0" fontId="0" fillId="0" borderId="7" xfId="0" applyBorder="1" applyAlignment="1">
      <alignment wrapText="1"/>
    </xf>
    <xf numFmtId="0" fontId="8" fillId="0" borderId="4" xfId="0" applyFont="1" applyBorder="1" applyAlignment="1">
      <alignment vertical="center" wrapText="1"/>
    </xf>
    <xf numFmtId="0" fontId="2" fillId="0" borderId="0" xfId="1" applyBorder="1" applyAlignment="1">
      <alignment vertical="center"/>
    </xf>
    <xf numFmtId="0" fontId="2" fillId="0" borderId="0" xfId="1" applyAlignment="1">
      <alignment vertical="center"/>
    </xf>
    <xf numFmtId="0" fontId="9" fillId="0" borderId="0" xfId="0" applyFont="1"/>
    <xf numFmtId="0" fontId="2" fillId="0" borderId="0" xfId="1" applyAlignment="1">
      <alignment horizontal="center"/>
    </xf>
    <xf numFmtId="0" fontId="2" fillId="0" borderId="0" xfId="1" applyAlignment="1">
      <alignment vertical="center" wrapText="1"/>
    </xf>
    <xf numFmtId="0" fontId="0" fillId="0" borderId="6" xfId="0" applyBorder="1" applyAlignment="1">
      <alignment vertical="top" wrapText="1"/>
    </xf>
    <xf numFmtId="0" fontId="0" fillId="0" borderId="5" xfId="0" applyBorder="1" applyAlignment="1">
      <alignment vertical="top"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10" xfId="0" applyBorder="1" applyAlignment="1">
      <alignment horizontal="right"/>
    </xf>
    <xf numFmtId="0" fontId="0" fillId="0" borderId="10" xfId="0" applyBorder="1"/>
    <xf numFmtId="0" fontId="0" fillId="0" borderId="11" xfId="0" applyBorder="1"/>
    <xf numFmtId="0" fontId="0" fillId="0" borderId="2" xfId="0" applyBorder="1" applyAlignment="1">
      <alignment horizontal="right"/>
    </xf>
    <xf numFmtId="0" fontId="0" fillId="0" borderId="2" xfId="0" applyBorder="1"/>
    <xf numFmtId="0" fontId="0" fillId="0" borderId="1" xfId="0" applyBorder="1" applyAlignment="1">
      <alignment vertical="top" wrapText="1"/>
    </xf>
    <xf numFmtId="0" fontId="0" fillId="0" borderId="3" xfId="0" applyBorder="1" applyAlignment="1">
      <alignment vertical="center" wrapText="1"/>
    </xf>
    <xf numFmtId="0" fontId="0" fillId="0" borderId="2" xfId="0" applyBorder="1" applyAlignment="1">
      <alignment horizontal="center"/>
    </xf>
    <xf numFmtId="0" fontId="0" fillId="0" borderId="0" xfId="0" applyAlignment="1">
      <alignment horizontal="left" vertical="center" wrapText="1"/>
    </xf>
    <xf numFmtId="0" fontId="7" fillId="0" borderId="0" xfId="0" applyFont="1"/>
    <xf numFmtId="0" fontId="0" fillId="0" borderId="0" xfId="0" applyAlignment="1">
      <alignment vertical="center"/>
    </xf>
    <xf numFmtId="0" fontId="0" fillId="3" borderId="10" xfId="0" applyFill="1" applyBorder="1" applyAlignment="1">
      <alignment horizontal="right"/>
    </xf>
    <xf numFmtId="0" fontId="0" fillId="3" borderId="1" xfId="0" applyFill="1" applyBorder="1" applyAlignment="1">
      <alignment horizontal="right"/>
    </xf>
    <xf numFmtId="0" fontId="0" fillId="3" borderId="8" xfId="0" applyFill="1" applyBorder="1" applyAlignment="1">
      <alignment horizontal="right"/>
    </xf>
    <xf numFmtId="0" fontId="0" fillId="3" borderId="8" xfId="0" applyFill="1" applyBorder="1"/>
    <xf numFmtId="0" fontId="0" fillId="3" borderId="1" xfId="0" applyFill="1" applyBorder="1"/>
    <xf numFmtId="0" fontId="0" fillId="3" borderId="10" xfId="0" applyFill="1" applyBorder="1"/>
    <xf numFmtId="0" fontId="0" fillId="3" borderId="1" xfId="0" applyFill="1" applyBorder="1" applyAlignment="1">
      <alignment wrapText="1"/>
    </xf>
    <xf numFmtId="0" fontId="0" fillId="3" borderId="11" xfId="0" applyFill="1" applyBorder="1"/>
    <xf numFmtId="0" fontId="0" fillId="0" borderId="11" xfId="0" applyBorder="1" applyAlignment="1">
      <alignment horizontal="right"/>
    </xf>
    <xf numFmtId="0" fontId="0" fillId="4" borderId="1" xfId="0" applyFill="1" applyBorder="1" applyAlignment="1">
      <alignment horizontal="right"/>
    </xf>
    <xf numFmtId="0" fontId="0" fillId="4" borderId="11" xfId="0" applyFill="1" applyBorder="1" applyAlignment="1">
      <alignment horizontal="right"/>
    </xf>
    <xf numFmtId="0" fontId="0" fillId="4" borderId="11" xfId="0" applyFill="1" applyBorder="1"/>
    <xf numFmtId="0" fontId="0" fillId="4" borderId="10" xfId="0" applyFill="1" applyBorder="1" applyAlignment="1">
      <alignment horizontal="right"/>
    </xf>
    <xf numFmtId="0" fontId="0" fillId="4" borderId="8" xfId="0" applyFill="1" applyBorder="1" applyAlignment="1">
      <alignment horizontal="right"/>
    </xf>
    <xf numFmtId="0" fontId="0" fillId="4" borderId="8" xfId="0" applyFill="1" applyBorder="1"/>
    <xf numFmtId="0" fontId="3" fillId="0" borderId="1" xfId="0" applyFont="1" applyBorder="1" applyAlignment="1">
      <alignment horizontal="right"/>
    </xf>
    <xf numFmtId="0" fontId="3" fillId="0" borderId="2" xfId="0" applyFont="1" applyBorder="1" applyAlignment="1">
      <alignment horizontal="right"/>
    </xf>
    <xf numFmtId="0" fontId="3" fillId="0" borderId="9" xfId="0" applyFont="1" applyBorder="1"/>
    <xf numFmtId="0" fontId="0" fillId="0" borderId="1" xfId="0" applyBorder="1" applyAlignment="1">
      <alignment horizontal="righ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top" wrapText="1"/>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xf>
    <xf numFmtId="0" fontId="0" fillId="0" borderId="3" xfId="0" applyBorder="1" applyAlignment="1">
      <alignment vertical="center"/>
    </xf>
    <xf numFmtId="0" fontId="0" fillId="0" borderId="0" xfId="0" applyAlignment="1">
      <alignment horizontal="right"/>
    </xf>
    <xf numFmtId="0" fontId="0" fillId="0" borderId="1" xfId="0" applyBorder="1" applyAlignment="1">
      <alignment wrapText="1"/>
    </xf>
    <xf numFmtId="0" fontId="0" fillId="0" borderId="0" xfId="0" applyAlignment="1">
      <alignment vertical="top" wrapText="1"/>
    </xf>
    <xf numFmtId="0" fontId="0" fillId="0" borderId="12" xfId="0" applyBorder="1"/>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2" fillId="0" borderId="0" xfId="1" applyAlignment="1">
      <alignment horizontal="center"/>
    </xf>
  </cellXfs>
  <cellStyles count="2">
    <cellStyle name="Hyperlink" xfId="1" builtinId="8"/>
    <cellStyle name="Normal" xfId="0" builtinId="0"/>
  </cellStyles>
  <dxfs count="636">
    <dxf>
      <fill>
        <patternFill patternType="solid">
          <fgColor indexed="64"/>
          <bgColor rgb="FFEBEEF1"/>
        </patternFill>
      </fill>
      <border diagonalUp="0" diagonalDown="0" outline="0">
        <left style="thin">
          <color indexed="64"/>
        </left>
        <right style="thin">
          <color indexed="64"/>
        </right>
        <top style="thin">
          <color indexed="64"/>
        </top>
        <bottom/>
      </border>
    </dxf>
    <dxf>
      <fill>
        <patternFill patternType="solid">
          <fgColor indexed="64"/>
          <bgColor rgb="FFEBEEF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rgb="FFEBEEF1"/>
        </patternFill>
      </fill>
      <border diagonalUp="0" diagonalDown="0" outline="0">
        <left style="thin">
          <color indexed="64"/>
        </left>
        <right style="thin">
          <color indexed="64"/>
        </right>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auto="1"/>
        </patternFill>
      </fill>
      <border diagonalUp="0" diagonalDown="0" outline="0">
        <left style="thin">
          <color indexed="64"/>
        </left>
        <right style="thin">
          <color indexed="64"/>
        </right>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auto="1"/>
        </patternFill>
      </fill>
      <border diagonalUp="0" diagonalDown="0" outline="0">
        <left style="thin">
          <color indexed="64"/>
        </left>
        <right style="thin">
          <color indexed="64"/>
        </right>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general" vertical="bottom" textRotation="0" wrapText="1" indent="0" justifyLastLine="0" shrinkToFit="0" readingOrder="0"/>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FF0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border diagonalUp="0" diagonalDown="0" outline="0">
        <left style="thin">
          <color indexed="64"/>
        </left>
        <right style="thin">
          <color indexed="64"/>
        </right>
        <top/>
        <bottom style="thin">
          <color indexed="64"/>
        </bottom>
      </border>
    </dxf>
    <dxf>
      <fill>
        <patternFill patternType="solid">
          <fgColor indexed="64"/>
          <bgColor rgb="FFFFFF00"/>
        </patternFill>
      </fill>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top style="thin">
          <color indexed="64"/>
        </top>
        <bottom/>
      </border>
    </dxf>
    <dxf>
      <fill>
        <patternFill patternType="solid">
          <fgColor indexed="64"/>
          <bgColor rgb="FFFFFF00"/>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textRotation="0" wrapText="1" indent="0" justifyLastLine="0" shrinkToFit="0" readingOrder="0"/>
    </dxf>
    <dxf>
      <fill>
        <patternFill patternType="solid">
          <fgColor indexed="64"/>
          <bgColor rgb="FFFFFF00"/>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vertical="top" textRotation="0"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ill>
        <patternFill>
          <bgColor rgb="FFFFFF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rgb="FFFFFF0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rgb="FFEBEEF1"/>
        </patternFill>
      </fill>
      <alignment horizontal="right"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0" readingOrder="0"/>
      <border outline="0">
        <right style="thin">
          <color indexed="64"/>
        </right>
      </border>
    </dxf>
    <dxf>
      <border outline="0">
        <right style="thin">
          <color indexed="64"/>
        </right>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fill>
        <patternFill patternType="solid">
          <fgColor indexed="64"/>
          <bgColor theme="3" tint="0.89999084444715716"/>
        </patternFill>
      </fill>
      <border diagonalUp="0" diagonalDown="0" outline="0">
        <left style="thin">
          <color indexed="64"/>
        </left>
        <right style="thin">
          <color indexed="64"/>
        </right>
        <top style="thin">
          <color indexed="64"/>
        </top>
        <bottom/>
      </border>
    </dxf>
    <dxf>
      <fill>
        <patternFill patternType="solid">
          <fgColor indexed="64"/>
          <bgColor theme="3" tint="0.89999084444715716"/>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border outline="0">
        <bottom style="thin">
          <color indexed="64"/>
        </bottom>
      </border>
    </dxf>
    <dxf>
      <alignment horizontal="general" vertical="bottom"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right style="thin">
          <color indexed="64"/>
        </right>
        <top style="thin">
          <color indexed="64"/>
        </top>
        <bottom style="thin">
          <color indexed="64"/>
        </bottom>
      </border>
    </dxf>
    <dxf>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EBEEF1"/>
      <color rgb="FF5F9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calcChain" Target="calcChain.xml" Id="rId17"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theme" Target="theme/theme1.xml" Id="rId14" /><Relationship Type="http://schemas.openxmlformats.org/officeDocument/2006/relationships/customXml" Target="/customXml/item.xml" Id="R12158975f2a1483f"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irSafetyLicencesIssued" displayName="AirSafetyLicencesIssued" ref="A4:H32" totalsRowCount="1" headerRowDxfId="635" headerRowBorderDxfId="634" tableBorderDxfId="633" totalsRowBorderDxfId="632">
  <autoFilter ref="A4:H31" xr:uid="{00000000-0009-0000-0100-000001000000}"/>
  <sortState xmlns:xlrd2="http://schemas.microsoft.com/office/spreadsheetml/2017/richdata2" ref="A5:G31">
    <sortCondition ref="A4:A31"/>
  </sortState>
  <tableColumns count="8">
    <tableColumn id="1" xr3:uid="{00000000-0010-0000-0000-000001000000}" name="Species" totalsRowLabel="Total number of licences" dataDxfId="631" totalsRowDxfId="630"/>
    <tableColumn id="2" xr3:uid="{00000000-0010-0000-0000-000002000000}" name="Number of licences issued 2019" totalsRowLabel="&gt;1" dataDxfId="629" totalsRowDxfId="628"/>
    <tableColumn id="3" xr3:uid="{00000000-0010-0000-0000-000003000000}" name="Number of licences issued 2020" totalsRowLabel="24" dataDxfId="627" totalsRowDxfId="626"/>
    <tableColumn id="4" xr3:uid="{00000000-0010-0000-0000-000004000000}" name="Number of licences issued 2021" totalsRowLabel="24" dataDxfId="625" totalsRowDxfId="624"/>
    <tableColumn id="5" xr3:uid="{00000000-0010-0000-0000-000005000000}" name="Number of licences issued 2022" totalsRowLabel="23" dataDxfId="623" totalsRowDxfId="622"/>
    <tableColumn id="6" xr3:uid="{00000000-0010-0000-0000-000006000000}" name="Number of licences issued 2023" totalsRowLabel="6" dataDxfId="621" totalsRowDxfId="620"/>
    <tableColumn id="7" xr3:uid="{4A460E58-60BC-4863-8B64-96382919CDBB}" name="Number of licences issued 2024" totalsRowLabel="24" dataDxfId="619" totalsRowDxfId="618"/>
    <tableColumn id="8" xr3:uid="{A301CF25-4ACC-4349-B1C0-4F9BD0C443BC}" name="Number of licences issued 2025" totalsRowLabel="0" dataDxfId="617" totalsRowDxfId="61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9000000}" name="FishEatingBirdLicencesIssued" displayName="FishEatingBirdLicencesIssued" ref="A4:H10" totalsRowCount="1" headerRowDxfId="482" headerRowBorderDxfId="481" tableBorderDxfId="480" totalsRowBorderDxfId="479">
  <autoFilter ref="A4:H9" xr:uid="{00000000-0009-0000-0100-000013000000}"/>
  <tableColumns count="8">
    <tableColumn id="1" xr3:uid="{00000000-0010-0000-0900-000001000000}" name="Species" totalsRowLabel="Total number of licences" dataDxfId="478" totalsRowDxfId="477"/>
    <tableColumn id="2" xr3:uid="{00000000-0010-0000-0900-000002000000}" name="Number of licences issued 2019" totalsRowLabel="27" dataDxfId="476" totalsRowDxfId="475"/>
    <tableColumn id="3" xr3:uid="{00000000-0010-0000-0900-000003000000}" name="Number of licences issued 2020" totalsRowLabel="41" dataDxfId="474" totalsRowDxfId="473"/>
    <tableColumn id="4" xr3:uid="{00000000-0010-0000-0900-000004000000}" name="Number of licences issued 2021" totalsRowLabel="31" dataDxfId="472" totalsRowDxfId="471"/>
    <tableColumn id="5" xr3:uid="{00000000-0010-0000-0900-000005000000}" name="Number of licences issued 2022" totalsRowLabel="39" dataDxfId="470" totalsRowDxfId="469"/>
    <tableColumn id="6" xr3:uid="{00000000-0010-0000-0900-000006000000}" name="Number of licences issued 2023" totalsRowLabel="46" dataDxfId="468" totalsRowDxfId="467"/>
    <tableColumn id="7" xr3:uid="{BC3CFAE3-3055-44A5-BD01-3207E1D831EF}" name="Number of licences issued 2024" totalsRowLabel="42" dataDxfId="466" totalsRowDxfId="465"/>
    <tableColumn id="8" xr3:uid="{763AD0F4-2D33-46F6-B3DC-7958B560EE7E}" name="Number of licences issued 2025" totalsRowLabel="40" dataDxfId="464" totalsRowDxfId="46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A000000}" name="FishEatingBirdPermittedNumbers" displayName="FishEatingBirdPermittedNumbers" ref="A14:H20" totalsRowCount="1" headerRowDxfId="462" headerRowBorderDxfId="461" tableBorderDxfId="460" totalsRowBorderDxfId="459">
  <autoFilter ref="A14:H19" xr:uid="{00000000-0009-0000-0100-000014000000}"/>
  <tableColumns count="8">
    <tableColumn id="1" xr3:uid="{00000000-0010-0000-0A00-000001000000}" name="Species" totalsRowLabel="Total" dataDxfId="458" totalsRowDxfId="457"/>
    <tableColumn id="2" xr3:uid="{00000000-0010-0000-0A00-000002000000}" name="Number of individuals permitted to be killed 2019" totalsRowFunction="sum" dataDxfId="456" totalsRowDxfId="455"/>
    <tableColumn id="3" xr3:uid="{00000000-0010-0000-0A00-000003000000}" name="Number of individuals permitted to be killed 2020" totalsRowFunction="sum" dataDxfId="454" totalsRowDxfId="453"/>
    <tableColumn id="4" xr3:uid="{00000000-0010-0000-0A00-000004000000}" name="Number of individuals permitted to be killed 2021" totalsRowFunction="sum" dataDxfId="452" totalsRowDxfId="451"/>
    <tableColumn id="5" xr3:uid="{00000000-0010-0000-0A00-000005000000}" name="Number of individuals permitted to be killed 2022" totalsRowFunction="sum" dataDxfId="450" totalsRowDxfId="449"/>
    <tableColumn id="6" xr3:uid="{00000000-0010-0000-0A00-000006000000}" name="Number of individuals permitted to be killed 2023" totalsRowFunction="sum" dataDxfId="448" totalsRowDxfId="447"/>
    <tableColumn id="7" xr3:uid="{395F9830-BA80-4886-AE3B-0E29740F87E1}" name="Number of individuals permitted to be killed 2024" totalsRowFunction="sum" dataDxfId="446" totalsRowDxfId="445"/>
    <tableColumn id="8" xr3:uid="{5FE3A3AE-0694-46F3-A4F9-29F215A69D9B}" name="Number of individuals permitted to be killed 2025" totalsRowFunction="sum" dataDxfId="444" totalsRowDxfId="44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FishEatingBirdNumbersTaken" displayName="FishEatingBirdNumbersTaken" ref="A24:H30" totalsRowCount="1" headerRowDxfId="442" headerRowBorderDxfId="441" tableBorderDxfId="440" totalsRowBorderDxfId="439">
  <autoFilter ref="A24:H29" xr:uid="{00000000-0009-0000-0100-000015000000}"/>
  <tableColumns count="8">
    <tableColumn id="1" xr3:uid="{00000000-0010-0000-0B00-000001000000}" name="Species" totalsRowLabel="Total" dataDxfId="438" totalsRowDxfId="437"/>
    <tableColumn id="2" xr3:uid="{00000000-0010-0000-0B00-000002000000}" name="Number of individuals taken reported on licence return 2019" totalsRowFunction="sum" dataDxfId="436" totalsRowDxfId="435"/>
    <tableColumn id="3" xr3:uid="{00000000-0010-0000-0B00-000003000000}" name="Number of individuals taken reported on licence return 2020" totalsRowFunction="sum" dataDxfId="434" totalsRowDxfId="433"/>
    <tableColumn id="4" xr3:uid="{00000000-0010-0000-0B00-000004000000}" name="Number of individuals taken reported on licence return 2021" totalsRowFunction="sum" dataDxfId="432" totalsRowDxfId="431"/>
    <tableColumn id="5" xr3:uid="{00000000-0010-0000-0B00-000005000000}" name="Number of individuals taken reported on licence return 2022" totalsRowFunction="sum" dataDxfId="430" totalsRowDxfId="429"/>
    <tableColumn id="6" xr3:uid="{00000000-0010-0000-0B00-000006000000}" name="Number of individuals taken reported on licence return 2023" totalsRowFunction="sum" dataDxfId="428" totalsRowDxfId="427"/>
    <tableColumn id="7" xr3:uid="{EBF52A67-226A-45C4-86F3-A8C70BC66C9C}" name="Number of individuals taken reported on licence return 2024" totalsRowFunction="sum" dataDxfId="426" totalsRowDxfId="425"/>
    <tableColumn id="8" xr3:uid="{49EC06E4-5679-4E2C-A9CC-043B4B147776}" name="Number of individuals taken reported on licence return 2025" dataDxfId="424" totalsRowDxfId="42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GeeseLicencesIssued" displayName="GeeseLicencesIssued" ref="A4:H9" totalsRowCount="1" headerRowDxfId="422" headerRowBorderDxfId="421" tableBorderDxfId="420" totalsRowBorderDxfId="419">
  <autoFilter ref="A4:H8" xr:uid="{00000000-0009-0000-0100-00000D000000}"/>
  <tableColumns count="8">
    <tableColumn id="1" xr3:uid="{00000000-0010-0000-0C00-000001000000}" name="Species" totalsRowLabel="Total number of licences" dataDxfId="418" totalsRowDxfId="417"/>
    <tableColumn id="2" xr3:uid="{00000000-0010-0000-0C00-000002000000}" name="Number of licences issued 2019" totalsRowFunction="sum" dataDxfId="416" totalsRowDxfId="415"/>
    <tableColumn id="3" xr3:uid="{00000000-0010-0000-0C00-000003000000}" name="Number of licences issued 2020" totalsRowLabel="110" dataDxfId="414" totalsRowDxfId="413"/>
    <tableColumn id="4" xr3:uid="{00000000-0010-0000-0C00-000004000000}" name="Number of licences issued 2021" totalsRowLabel="46" dataDxfId="412" totalsRowDxfId="411"/>
    <tableColumn id="5" xr3:uid="{00000000-0010-0000-0C00-000005000000}" name="Number of licences issued 2022" totalsRowLabel="30" dataDxfId="410" totalsRowDxfId="409"/>
    <tableColumn id="6" xr3:uid="{00000000-0010-0000-0C00-000006000000}" name="Number of licences issued 2023" totalsRowFunction="sum" dataDxfId="408" totalsRowDxfId="407"/>
    <tableColumn id="7" xr3:uid="{F70F9B65-DE12-4EF4-979A-882374E26463}" name="Number of licences issued 2024" totalsRowLabel="23" dataDxfId="406" totalsRowDxfId="405"/>
    <tableColumn id="8" xr3:uid="{42E654BB-AA8D-4E42-9301-A28359DD777D}" name="Number of licences issued 2025" totalsRowLabel="26" dataDxfId="404" totalsRowDxfId="40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GeesePermittedNumbers" displayName="GeesePermittedNumbers" ref="A15:H20" totalsRowCount="1" headerRowDxfId="402" headerRowBorderDxfId="401" tableBorderDxfId="400" totalsRowBorderDxfId="399">
  <autoFilter ref="A15:H19" xr:uid="{00000000-0009-0000-0100-00000E000000}"/>
  <tableColumns count="8">
    <tableColumn id="1" xr3:uid="{00000000-0010-0000-0D00-000001000000}" name="Species" totalsRowLabel="Total" dataDxfId="398" totalsRowDxfId="397"/>
    <tableColumn id="2" xr3:uid="{00000000-0010-0000-0D00-000002000000}" name="Number of individuals permitted to be killed 2019" totalsRowFunction="sum" dataDxfId="396" totalsRowDxfId="395"/>
    <tableColumn id="3" xr3:uid="{00000000-0010-0000-0D00-000003000000}" name="Number of individuals permitted to be killed 2020" totalsRowFunction="sum" dataDxfId="394" totalsRowDxfId="393"/>
    <tableColumn id="4" xr3:uid="{00000000-0010-0000-0D00-000004000000}" name="Number of individuals permitted to be killed 2021" totalsRowFunction="sum" dataDxfId="392" totalsRowDxfId="391"/>
    <tableColumn id="5" xr3:uid="{00000000-0010-0000-0D00-000005000000}" name="Number of individuals permitted to be killed 2022" totalsRowFunction="sum" dataDxfId="390" totalsRowDxfId="389"/>
    <tableColumn id="6" xr3:uid="{00000000-0010-0000-0D00-000006000000}" name="Number of individuals permitted to be killed 2023" totalsRowFunction="sum" dataDxfId="388" totalsRowDxfId="387"/>
    <tableColumn id="7" xr3:uid="{45B1B270-FD3E-4A05-8F8E-AE121492C938}" name="Number of individuals permitted to be killed 2024" totalsRowFunction="sum" dataDxfId="386" totalsRowDxfId="385"/>
    <tableColumn id="8" xr3:uid="{70BC930F-B697-48FE-B282-17AA80452AC2}" name="Number of individuals permitted to be killed 2025" totalsRowFunction="sum" dataDxfId="384" totalsRowDxfId="38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GeeseNumbersTaken" displayName="GeeseNumbersTaken" ref="A24:H29" totalsRowCount="1" headerRowBorderDxfId="382" tableBorderDxfId="381" totalsRowBorderDxfId="380">
  <autoFilter ref="A24:H28" xr:uid="{00000000-0009-0000-0100-00000F000000}"/>
  <tableColumns count="8">
    <tableColumn id="1" xr3:uid="{00000000-0010-0000-0E00-000001000000}" name="Species" totalsRowLabel="Total" dataDxfId="379" totalsRowDxfId="378"/>
    <tableColumn id="2" xr3:uid="{00000000-0010-0000-0E00-000002000000}" name="Number of individuals taken reported on licence return 2019" totalsRowFunction="sum" dataDxfId="377" totalsRowDxfId="376"/>
    <tableColumn id="3" xr3:uid="{00000000-0010-0000-0E00-000003000000}" name="Number of individuals taken reported on licence return 2020" totalsRowFunction="sum" dataDxfId="375" totalsRowDxfId="374"/>
    <tableColumn id="4" xr3:uid="{00000000-0010-0000-0E00-000004000000}" name="Number of individuals taken reported on licence return 2021" totalsRowFunction="sum" dataDxfId="373" totalsRowDxfId="372"/>
    <tableColumn id="5" xr3:uid="{00000000-0010-0000-0E00-000005000000}" name="Number of individuals taken reported on licence return 2022" totalsRowFunction="sum" dataDxfId="371" totalsRowDxfId="370"/>
    <tableColumn id="6" xr3:uid="{00000000-0010-0000-0E00-000006000000}" name="Number of individuals taken reported on licence return 2023" totalsRowFunction="sum" dataDxfId="369" totalsRowDxfId="368"/>
    <tableColumn id="7" xr3:uid="{D22D7C4C-F558-4B96-A928-D81E00DED663}" name="Number of individuals taken reported on licence return 2024" totalsRowFunction="sum" dataDxfId="367" totalsRowDxfId="366"/>
    <tableColumn id="8" xr3:uid="{D33CA458-8300-4200-BD81-4141F80C3C62}" name="Number of individuals taken reported on licence return 2025" dataDxfId="365" totalsRowDxfId="36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GullAdultLicencesIssed" displayName="GullAdultLicencesIssed" ref="A4:H10" totalsRowCount="1" headerRowDxfId="363" headerRowBorderDxfId="362" tableBorderDxfId="361" totalsRowBorderDxfId="360">
  <autoFilter ref="A4:H9" xr:uid="{00000000-0009-0000-0100-000007000000}"/>
  <tableColumns count="8">
    <tableColumn id="1" xr3:uid="{00000000-0010-0000-0F00-000001000000}" name="Species" totalsRowLabel="Total number of licences" dataDxfId="359" totalsRowDxfId="358"/>
    <tableColumn id="2" xr3:uid="{00000000-0010-0000-0F00-000002000000}" name="Number of licences issued 2019" totalsRowFunction="sum" dataDxfId="357" totalsRowDxfId="356"/>
    <tableColumn id="3" xr3:uid="{00000000-0010-0000-0F00-000003000000}" name="Number of licences issued 2020" totalsRowLabel="39" dataDxfId="355" totalsRowDxfId="354"/>
    <tableColumn id="4" xr3:uid="{00000000-0010-0000-0F00-000004000000}" name="Number of licences issued 2021" totalsRowLabel="25" dataDxfId="353" totalsRowDxfId="352"/>
    <tableColumn id="5" xr3:uid="{00000000-0010-0000-0F00-000005000000}" name="Number of licences issued 2022" totalsRowLabel="28" dataDxfId="351" totalsRowDxfId="350"/>
    <tableColumn id="6" xr3:uid="{00000000-0010-0000-0F00-000006000000}" name="Number of licences issued 2023" totalsRowLabel="14" dataDxfId="349" totalsRowDxfId="348"/>
    <tableColumn id="7" xr3:uid="{5AFAFB9C-6EBF-4125-A129-B3097751CBC3}" name="Number of licences issued 2024" totalsRowLabel="8" dataDxfId="347" totalsRowDxfId="346"/>
    <tableColumn id="8" xr3:uid="{0704B987-6AE2-466D-8C82-15C225FF0ECE}" name="Number of licences issued 2025" totalsRowLabel="9" dataDxfId="345" totalsRowDxfId="344"/>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GullChickLicencesIssued" displayName="GullChickLicencesIssued" ref="K4:R10" totalsRowCount="1" headerRowDxfId="343" headerRowBorderDxfId="342" tableBorderDxfId="341" totalsRowBorderDxfId="340">
  <autoFilter ref="K4:R9" xr:uid="{00000000-0009-0000-0100-000008000000}"/>
  <tableColumns count="8">
    <tableColumn id="1" xr3:uid="{00000000-0010-0000-1000-000001000000}" name="Species" totalsRowLabel="Total number of licences" dataDxfId="339" totalsRowDxfId="338"/>
    <tableColumn id="2" xr3:uid="{00000000-0010-0000-1000-000002000000}" name="Number of licences issued 2019" totalsRowLabel="2" dataDxfId="337" totalsRowDxfId="336"/>
    <tableColumn id="3" xr3:uid="{00000000-0010-0000-1000-000003000000}" name="Number of licences issued 2020" totalsRowLabel="47" dataDxfId="335" totalsRowDxfId="334"/>
    <tableColumn id="4" xr3:uid="{00000000-0010-0000-1000-000004000000}" name="Number of licences issued 2021" totalsRowLabel="8" dataDxfId="333" totalsRowDxfId="332"/>
    <tableColumn id="5" xr3:uid="{00000000-0010-0000-1000-000005000000}" name="Number of licences issued 2022" totalsRowLabel="28" dataDxfId="331" totalsRowDxfId="330"/>
    <tableColumn id="6" xr3:uid="{00000000-0010-0000-1000-000006000000}" name="Number of licences issued 2023" totalsRowFunction="sum" dataDxfId="329" totalsRowDxfId="328"/>
    <tableColumn id="7" xr3:uid="{FBC1D9A9-28B8-4FE5-95BE-8514F142E4AE}" name="Number of licences issued 2024" totalsRowFunction="sum" dataDxfId="327" totalsRowDxfId="326"/>
    <tableColumn id="8" xr3:uid="{D4974A3E-A611-4C2E-B507-3782FFED4BB5}" name="Number of licences issued 2025" totalsRowLabel="0" dataDxfId="325" totalsRowDxfId="32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GullAdultPermittedNumbers" displayName="GullAdultPermittedNumbers" ref="A16:H22" totalsRowCount="1" headerRowDxfId="323" headerRowBorderDxfId="322" tableBorderDxfId="321" totalsRowBorderDxfId="320">
  <autoFilter ref="A16:H21" xr:uid="{00000000-0009-0000-0100-000009000000}"/>
  <tableColumns count="8">
    <tableColumn id="1" xr3:uid="{00000000-0010-0000-1100-000001000000}" name="Species" totalsRowLabel="Total" dataDxfId="319" totalsRowDxfId="318"/>
    <tableColumn id="2" xr3:uid="{00000000-0010-0000-1100-000002000000}" name="Number of individuals permitted to be killed 2019" totalsRowFunction="sum" dataDxfId="317" totalsRowDxfId="316"/>
    <tableColumn id="3" xr3:uid="{00000000-0010-0000-1100-000003000000}" name="Number of individuals permitted to be killed 2020" totalsRowFunction="sum" dataDxfId="315" totalsRowDxfId="314"/>
    <tableColumn id="4" xr3:uid="{00000000-0010-0000-1100-000004000000}" name="Number of individuals permitted to be killed 2021" totalsRowFunction="sum" dataDxfId="313" totalsRowDxfId="312"/>
    <tableColumn id="5" xr3:uid="{00000000-0010-0000-1100-000005000000}" name="Number of individuals permitted to be killed 2022" totalsRowFunction="sum" dataDxfId="311" totalsRowDxfId="310"/>
    <tableColumn id="6" xr3:uid="{00000000-0010-0000-1100-000006000000}" name="Number of individuals permitted to be killed 2023" totalsRowFunction="sum" dataDxfId="309" totalsRowDxfId="308"/>
    <tableColumn id="7" xr3:uid="{B0058540-2E3A-438F-91C7-ADCB77F70FC7}" name="Number of individuals permitted to be killed 2024" totalsRowFunction="sum" dataDxfId="307" totalsRowDxfId="306"/>
    <tableColumn id="8" xr3:uid="{728E4D89-A61C-404B-A4B3-AF2BD144B405}" name="Number of individuals permitted to be killed 2025" totalsRowFunction="sum" dataDxfId="305" totalsRowDxfId="30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GullChickPermittedNumbers" displayName="GullChickPermittedNumbers" ref="K16:R22" totalsRowCount="1" headerRowDxfId="303" headerRowBorderDxfId="302" tableBorderDxfId="301" totalsRowBorderDxfId="300">
  <autoFilter ref="K16:R21" xr:uid="{00000000-0009-0000-0100-00000A000000}"/>
  <tableColumns count="8">
    <tableColumn id="1" xr3:uid="{00000000-0010-0000-1200-000001000000}" name="Species" totalsRowLabel="Total" dataDxfId="299" totalsRowDxfId="298"/>
    <tableColumn id="2" xr3:uid="{00000000-0010-0000-1200-000002000000}" name="Number of individuals permitted to be killed 2019" totalsRowFunction="sum" dataDxfId="297" totalsRowDxfId="296"/>
    <tableColumn id="3" xr3:uid="{00000000-0010-0000-1200-000003000000}" name="Number of individuals permitted to be killed 2020" totalsRowFunction="sum" dataDxfId="295" totalsRowDxfId="294"/>
    <tableColumn id="4" xr3:uid="{00000000-0010-0000-1200-000004000000}" name="Number of individuals permitted to be killed 2021" totalsRowFunction="sum" dataDxfId="293" totalsRowDxfId="292"/>
    <tableColumn id="5" xr3:uid="{00000000-0010-0000-1200-000005000000}" name="Number of individuals permitted to be killed 2022" totalsRowFunction="sum" dataDxfId="291" totalsRowDxfId="290"/>
    <tableColumn id="6" xr3:uid="{00000000-0010-0000-1200-000006000000}" name="Number of individuals permitted to be killed 2023" totalsRowFunction="sum" dataDxfId="289" totalsRowDxfId="288"/>
    <tableColumn id="7" xr3:uid="{B7D8AD64-CFBB-4C1F-B8F9-28C6BFF3C7C6}" name="Number of individuals permitted to be killed 2024" totalsRowFunction="sum" dataDxfId="287" totalsRowDxfId="286"/>
    <tableColumn id="8" xr3:uid="{E89A716A-2EB5-4416-BC28-6E1282135593}" name="Number of individuals permitted to be killed 2025" totalsRowFunction="custom" dataDxfId="285" totalsRowDxfId="284">
      <totalsRowFormula>SUBTOTAL(109,GullChickPermittedNumbers[Species])</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irSafetyPermittedNumbers" displayName="AirSafetyPermittedNumbers" ref="A37:H63" totalsRowCount="1" headerRowDxfId="615" dataDxfId="613" headerRowBorderDxfId="614" tableBorderDxfId="612" totalsRowBorderDxfId="611">
  <autoFilter ref="A37:H62" xr:uid="{00000000-0009-0000-0100-000002000000}"/>
  <sortState xmlns:xlrd2="http://schemas.microsoft.com/office/spreadsheetml/2017/richdata2" ref="A38:H62">
    <sortCondition ref="A37:A62"/>
  </sortState>
  <tableColumns count="8">
    <tableColumn id="1" xr3:uid="{00000000-0010-0000-0100-000001000000}" name="Species" totalsRowLabel="Total" dataDxfId="610" totalsRowDxfId="609"/>
    <tableColumn id="2" xr3:uid="{00000000-0010-0000-0100-000002000000}" name="Number of individuals permitted to be killed 2019" dataDxfId="608" totalsRowDxfId="607"/>
    <tableColumn id="3" xr3:uid="{00000000-0010-0000-0100-000003000000}" name="Number of individuals permitted to be killed 2020" dataDxfId="606" totalsRowDxfId="605"/>
    <tableColumn id="4" xr3:uid="{00000000-0010-0000-0100-000004000000}" name="Number of individuals permitted to be killed 2021" dataDxfId="604" totalsRowDxfId="603"/>
    <tableColumn id="5" xr3:uid="{00000000-0010-0000-0100-000005000000}" name="Number of individuals permitted to be killed 2022" dataDxfId="602" totalsRowDxfId="601"/>
    <tableColumn id="6" xr3:uid="{00000000-0010-0000-0100-000006000000}" name="Number of individuals permitted to be killed 2023" dataDxfId="600" totalsRowDxfId="599"/>
    <tableColumn id="7" xr3:uid="{9CFAD917-E5C8-40E8-83B2-0110EEB9630E}" name="Number of individuals permitted to be killed 2024" dataDxfId="598" totalsRowDxfId="597"/>
    <tableColumn id="8" xr3:uid="{88171669-C073-45D2-95DA-DDBC28580514}" name="Number of individuals permitted to be killed 2025" dataDxfId="596" totalsRowDxfId="595"/>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3000000}" name="GullAdultNumbersTaken" displayName="GullAdultNumbersTaken" ref="A26:H32" totalsRowCount="1" headerRowBorderDxfId="283" tableBorderDxfId="282" totalsRowBorderDxfId="281">
  <autoFilter ref="A26:H31" xr:uid="{00000000-0009-0000-0100-00000B000000}"/>
  <tableColumns count="8">
    <tableColumn id="1" xr3:uid="{00000000-0010-0000-1300-000001000000}" name="Species" totalsRowLabel="Total" dataDxfId="280" totalsRowDxfId="279"/>
    <tableColumn id="2" xr3:uid="{00000000-0010-0000-1300-000002000000}" name="Number of individuals taken reported on licence return 2019" totalsRowFunction="sum" dataDxfId="278" totalsRowDxfId="277"/>
    <tableColumn id="3" xr3:uid="{00000000-0010-0000-1300-000003000000}" name="Number of individuals taken reported on licence return 2020" totalsRowFunction="sum" dataDxfId="276" totalsRowDxfId="275"/>
    <tableColumn id="4" xr3:uid="{00000000-0010-0000-1300-000004000000}" name="Number of individuals taken reported on licence return 2021" totalsRowFunction="sum" dataDxfId="274" totalsRowDxfId="273"/>
    <tableColumn id="5" xr3:uid="{00000000-0010-0000-1300-000005000000}" name="Number of individuals taken reported on licence return 2022" totalsRowFunction="sum" dataDxfId="272" totalsRowDxfId="271"/>
    <tableColumn id="6" xr3:uid="{00000000-0010-0000-1300-000006000000}" name="Number of individuals taken reported on licence return 2023" totalsRowFunction="sum" dataDxfId="270" totalsRowDxfId="269"/>
    <tableColumn id="7" xr3:uid="{6564FFD0-1C99-4B55-9C94-00A1A1997220}" name="Number of individuals taken reported on licence return 2024" totalsRowFunction="sum" dataDxfId="268" totalsRowDxfId="267"/>
    <tableColumn id="8" xr3:uid="{5BD252A7-60D5-4BC8-8D59-BF5983B76FD3}" name="Number of individuals taken reported on licence return 2025" dataDxfId="266" totalsRowDxfId="265"/>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4000000}" name="GullChickNumbersTaken" displayName="GullChickNumbersTaken" ref="K26:R32" totalsRowCount="1" headerRowDxfId="264" headerRowBorderDxfId="263" tableBorderDxfId="262" totalsRowBorderDxfId="261">
  <autoFilter ref="K26:R31" xr:uid="{00000000-0009-0000-0100-00000C000000}"/>
  <tableColumns count="8">
    <tableColumn id="1" xr3:uid="{00000000-0010-0000-1400-000001000000}" name="Species" totalsRowLabel="Total" dataDxfId="260" totalsRowDxfId="259"/>
    <tableColumn id="2" xr3:uid="{00000000-0010-0000-1400-000002000000}" name="Number of individuals taken reported on licence return 2019" totalsRowFunction="sum" dataDxfId="258" totalsRowDxfId="257"/>
    <tableColumn id="3" xr3:uid="{00000000-0010-0000-1400-000003000000}" name="Number of individuals taken reported on licence return 2020" totalsRowFunction="sum" dataDxfId="256" totalsRowDxfId="255"/>
    <tableColumn id="4" xr3:uid="{00000000-0010-0000-1400-000004000000}" name="Number of individuals taken reported on licence return 2021" totalsRowFunction="sum" dataDxfId="254" totalsRowDxfId="253"/>
    <tableColumn id="5" xr3:uid="{00000000-0010-0000-1400-000005000000}" name="Number of individuals taken reported on licence return 2022" totalsRowFunction="sum" dataDxfId="252" totalsRowDxfId="251"/>
    <tableColumn id="6" xr3:uid="{00000000-0010-0000-1400-000006000000}" name="Number of individuals taken reported on licence return 2023" totalsRowFunction="sum" dataDxfId="250" totalsRowDxfId="249"/>
    <tableColumn id="7" xr3:uid="{E3E85422-C178-456F-ADE0-A0A397B7BADC}" name="Number of individuals taken reported on licence return 2024" totalsRowFunction="sum" dataDxfId="248" totalsRowDxfId="247"/>
    <tableColumn id="8" xr3:uid="{3B53AAC3-4F80-40EE-B540-5D1217B9F36C}" name="Number of individuals taken reported on licence return 2025" dataDxfId="246" totalsRowDxfId="24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HareLicencesIssued" displayName="HareLicencesIssued" ref="A4:H7" totalsRowCount="1" headerRowDxfId="244" headerRowBorderDxfId="243" tableBorderDxfId="242" totalsRowBorderDxfId="241">
  <autoFilter ref="A4:H6" xr:uid="{00000000-0009-0000-0100-000016000000}"/>
  <tableColumns count="8">
    <tableColumn id="1" xr3:uid="{00000000-0010-0000-1500-000001000000}" name="Species" totalsRowLabel="Total number of licences" dataDxfId="240" totalsRowDxfId="239"/>
    <tableColumn id="2" xr3:uid="{00000000-0010-0000-1500-000002000000}" name="Number of licences issued 2019" totalsRowLabel="9" dataDxfId="238" totalsRowDxfId="237"/>
    <tableColumn id="3" xr3:uid="{00000000-0010-0000-1500-000003000000}" name="Number of licences issued 2020" totalsRowLabel="47" dataDxfId="236" totalsRowDxfId="235"/>
    <tableColumn id="4" xr3:uid="{00000000-0010-0000-1500-000004000000}" name="Number of licences issued 2021" totalsRowLabel="101" dataDxfId="234" totalsRowDxfId="233"/>
    <tableColumn id="5" xr3:uid="{00000000-0010-0000-1500-000005000000}" name="Number of licences issued 2022" totalsRowFunction="sum" dataDxfId="232" totalsRowDxfId="231"/>
    <tableColumn id="6" xr3:uid="{00000000-0010-0000-1500-000006000000}" name="Number of licences issued 2023" totalsRowFunction="sum" dataDxfId="230" totalsRowDxfId="229"/>
    <tableColumn id="7" xr3:uid="{4FB8F507-EB4E-4229-9CC4-23A52C2D63FD}" name="Number of licences issued 2024" totalsRowFunction="custom" dataDxfId="228" totalsRowDxfId="227">
      <totalsRowFormula>SUM(HareLicencesIssued[Number of licences issued 2024])</totalsRowFormula>
    </tableColumn>
    <tableColumn id="8" xr3:uid="{962E97D8-A60A-499D-9C1C-19B8FC356083}" name="Number of licences issued 2025" totalsRowLabel="98" dataDxfId="226" totalsRowDxfId="22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HarePermittedNumbers" displayName="HarePermittedNumbers" ref="A11:H14" totalsRowCount="1" headerRowDxfId="224" headerRowBorderDxfId="223" tableBorderDxfId="222" totalsRowBorderDxfId="221">
  <autoFilter ref="A11:H13" xr:uid="{00000000-0009-0000-0100-000017000000}"/>
  <tableColumns count="8">
    <tableColumn id="1" xr3:uid="{00000000-0010-0000-1600-000001000000}" name="Species" totalsRowLabel="Total" dataDxfId="220" totalsRowDxfId="219"/>
    <tableColumn id="2" xr3:uid="{00000000-0010-0000-1600-000002000000}" name="Number of individuals permitted to be killed 2019" totalsRowFunction="sum" dataDxfId="218" totalsRowDxfId="217"/>
    <tableColumn id="3" xr3:uid="{00000000-0010-0000-1600-000003000000}" name="Number of individuals permitted to be killed 2020" totalsRowFunction="sum" dataDxfId="216" totalsRowDxfId="215"/>
    <tableColumn id="4" xr3:uid="{00000000-0010-0000-1600-000004000000}" name="Number of individuals permitted to be killed 2021" totalsRowFunction="sum" dataDxfId="214" totalsRowDxfId="213"/>
    <tableColumn id="5" xr3:uid="{00000000-0010-0000-1600-000005000000}" name="Number of individuals permitted to be killed 2022" totalsRowFunction="sum" dataDxfId="212" totalsRowDxfId="211"/>
    <tableColumn id="6" xr3:uid="{00000000-0010-0000-1600-000006000000}" name="Number of individuals permitted to be killed 2023" totalsRowFunction="sum" dataDxfId="210" totalsRowDxfId="209"/>
    <tableColumn id="7" xr3:uid="{702CD70F-6C45-48B7-957E-EABF4A91BE13}" name="Number of individuals permitted to be killed 2024" totalsRowLabel="&gt;4599" dataDxfId="208" totalsRowDxfId="207"/>
    <tableColumn id="8" xr3:uid="{415168FE-89C0-4B7C-B716-E05F0F4E1512}" name="Number of individuals permitted to be killed 2025" totalsRowLabel="&gt;5002" dataDxfId="206" totalsRowDxfId="205"/>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HareNumbersTaken" displayName="HareNumbersTaken" ref="A18:H21" totalsRowCount="1" headerRowDxfId="204" headerRowBorderDxfId="203" tableBorderDxfId="202" totalsRowBorderDxfId="201">
  <autoFilter ref="A18:H20" xr:uid="{00000000-0009-0000-0100-000018000000}"/>
  <tableColumns count="8">
    <tableColumn id="1" xr3:uid="{00000000-0010-0000-1700-000001000000}" name="Species" totalsRowLabel="Total" dataDxfId="200" totalsRowDxfId="199"/>
    <tableColumn id="2" xr3:uid="{00000000-0010-0000-1700-000002000000}" name="Number of individuals taken reported on licence return 2019" totalsRowFunction="sum" dataDxfId="198" totalsRowDxfId="197"/>
    <tableColumn id="3" xr3:uid="{00000000-0010-0000-1700-000003000000}" name="Number of individuals taken reported on licence return 2020" totalsRowFunction="sum" dataDxfId="196" totalsRowDxfId="195"/>
    <tableColumn id="4" xr3:uid="{00000000-0010-0000-1700-000004000000}" name="Number of individuals taken reported on licence return 2021" totalsRowFunction="sum" dataDxfId="194" totalsRowDxfId="193"/>
    <tableColumn id="5" xr3:uid="{00000000-0010-0000-1700-000005000000}" name="Number of individuals taken reported on licence return 2022" totalsRowFunction="sum" dataDxfId="192" totalsRowDxfId="191"/>
    <tableColumn id="6" xr3:uid="{00000000-0010-0000-1700-000006000000}" name="Number of individuals taken reported on licence return 2023" totalsRowFunction="sum" dataDxfId="190" totalsRowDxfId="189"/>
    <tableColumn id="7" xr3:uid="{A9417892-81B4-4C4D-885E-3A810B5BF71B}" name="Number of individuals taken reported on licence return 2024" totalsRowFunction="sum" dataDxfId="188" totalsRowDxfId="187"/>
    <tableColumn id="8" xr3:uid="{9FE73569-BE0F-417C-8DCE-66093D179032}" name="Number of individuals taken reported on licence return 2025" dataDxfId="186" totalsRowDxfId="18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HealthAndSafetyLicencesIssued" displayName="HealthAndSafetyLicencesIssued" ref="A5:H27" totalsRowCount="1" headerRowDxfId="184" headerRowBorderDxfId="183" tableBorderDxfId="182" totalsRowBorderDxfId="181">
  <autoFilter ref="A5:H26" xr:uid="{00000000-0009-0000-0100-000004000000}"/>
  <sortState xmlns:xlrd2="http://schemas.microsoft.com/office/spreadsheetml/2017/richdata2" ref="A6:G26">
    <sortCondition ref="A5:A26"/>
  </sortState>
  <tableColumns count="8">
    <tableColumn id="1" xr3:uid="{00000000-0010-0000-1800-000001000000}" name="Species" totalsRowLabel="Total number of licences" dataDxfId="180" totalsRowDxfId="179"/>
    <tableColumn id="2" xr3:uid="{00000000-0010-0000-1800-000002000000}" name="Number of licences issued 2019" totalsRowLabel="6" dataDxfId="178" totalsRowDxfId="177"/>
    <tableColumn id="3" xr3:uid="{00000000-0010-0000-1800-000003000000}" name="Number of licences issued 2020" totalsRowLabel="52" dataDxfId="176" totalsRowDxfId="175"/>
    <tableColumn id="4" xr3:uid="{00000000-0010-0000-1800-000004000000}" name="Number of licences issued 2021" totalsRowLabel="57" dataDxfId="174" totalsRowDxfId="173"/>
    <tableColumn id="5" xr3:uid="{00000000-0010-0000-1800-000005000000}" name="Number of licences issued 2022" totalsRowLabel="41" dataDxfId="172" totalsRowDxfId="171"/>
    <tableColumn id="6" xr3:uid="{00000000-0010-0000-1800-000006000000}" name="Number of licences issued 2023" totalsRowLabel="41" dataDxfId="170" totalsRowDxfId="169"/>
    <tableColumn id="7" xr3:uid="{EAB9E8F6-2A8B-4152-ADB4-F3978AFE223E}" name="Number of licences issued 2024" totalsRowLabel="16" dataDxfId="168" totalsRowDxfId="167"/>
    <tableColumn id="8" xr3:uid="{133AA580-5DDD-41E4-B07C-6507083663D1}" name="Number of licences issued 2025" totalsRowLabel="34" dataDxfId="166" totalsRowDxfId="16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9000000}" name="HealthAndSafetyPermittedNumbers" displayName="HealthAndSafetyPermittedNumbers" ref="A31:H53" totalsRowCount="1" headerRowDxfId="164" headerRowBorderDxfId="163" tableBorderDxfId="162" totalsRowBorderDxfId="161">
  <autoFilter ref="A31:H52" xr:uid="{00000000-0009-0000-0100-000005000000}"/>
  <sortState xmlns:xlrd2="http://schemas.microsoft.com/office/spreadsheetml/2017/richdata2" ref="A32:G52">
    <sortCondition ref="A31:A52"/>
  </sortState>
  <tableColumns count="8">
    <tableColumn id="1" xr3:uid="{00000000-0010-0000-1900-000001000000}" name="Species" totalsRowLabel="Total" dataDxfId="160" totalsRowDxfId="159"/>
    <tableColumn id="2" xr3:uid="{00000000-0010-0000-1900-000002000000}" name="Number of individuals permitted to be killed 2019" totalsRowFunction="sum" dataDxfId="158" totalsRowDxfId="157"/>
    <tableColumn id="3" xr3:uid="{00000000-0010-0000-1900-000003000000}" name="Number of individuals permitted to be killed 2020" totalsRowFunction="sum" dataDxfId="156" totalsRowDxfId="155"/>
    <tableColumn id="4" xr3:uid="{00000000-0010-0000-1900-000004000000}" name="Number of individuals permitted to be killed 2021" totalsRowFunction="sum" dataDxfId="154" totalsRowDxfId="153"/>
    <tableColumn id="5" xr3:uid="{00000000-0010-0000-1900-000005000000}" name="Number of individuals permitted to be killed 2022" totalsRowFunction="sum" dataDxfId="152" totalsRowDxfId="151"/>
    <tableColumn id="6" xr3:uid="{00000000-0010-0000-1900-000006000000}" name="Number of individuals permitted to be killed 2023" totalsRowFunction="sum" dataDxfId="150" totalsRowDxfId="149"/>
    <tableColumn id="7" xr3:uid="{5345FE08-E5D6-4D35-A9DC-D8B24017DFDF}" name="Number of individuals permitted to be killed 2024" totalsRowLabel="&gt;74" dataDxfId="148" totalsRowDxfId="147"/>
    <tableColumn id="8" xr3:uid="{897595C6-0B24-4C0C-B1A5-E7BEEDED1219}" name="Number of individuals permitted to be killed 2025" totalsRowLabel="&gt;52" dataDxfId="146" totalsRowDxfId="145"/>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A000000}" name="HealthAndSafetyNumbersTaken" displayName="HealthAndSafetyNumbersTaken" ref="A58:H80" totalsRowCount="1" headerRowDxfId="144" headerRowBorderDxfId="143" tableBorderDxfId="142" totalsRowBorderDxfId="141">
  <autoFilter ref="A58:H79" xr:uid="{00000000-0009-0000-0100-000006000000}"/>
  <sortState xmlns:xlrd2="http://schemas.microsoft.com/office/spreadsheetml/2017/richdata2" ref="A59:G79">
    <sortCondition ref="A58:A79"/>
  </sortState>
  <tableColumns count="8">
    <tableColumn id="1" xr3:uid="{00000000-0010-0000-1A00-000001000000}" name="Species" totalsRowLabel="Total" dataDxfId="140" totalsRowDxfId="139"/>
    <tableColumn id="2" xr3:uid="{00000000-0010-0000-1A00-000002000000}" name="Number of individuals taken reported on licence return 2019" totalsRowFunction="sum" dataDxfId="138" totalsRowDxfId="137"/>
    <tableColumn id="3" xr3:uid="{00000000-0010-0000-1A00-000003000000}" name="Number of individuals taken reported on licence return 2020" totalsRowFunction="sum" dataDxfId="136" totalsRowDxfId="135"/>
    <tableColumn id="4" xr3:uid="{00000000-0010-0000-1A00-000004000000}" name="Number of individuals taken reported on licence return 2021" totalsRowFunction="sum" dataDxfId="134" totalsRowDxfId="133"/>
    <tableColumn id="5" xr3:uid="{00000000-0010-0000-1A00-000005000000}" name="Number of individuals taken reported on licence return 2022" totalsRowFunction="sum" dataDxfId="132" totalsRowDxfId="131"/>
    <tableColumn id="6" xr3:uid="{00000000-0010-0000-1A00-000006000000}" name="Number of individuals taken reported on licence return 2023" totalsRowFunction="sum" dataDxfId="130" totalsRowDxfId="129"/>
    <tableColumn id="7" xr3:uid="{2A8B706B-664F-4AA1-828D-8D07C4527DC3}" name="Number of individuals taken reported on licence return 2024" totalsRowFunction="sum" dataDxfId="128" totalsRowDxfId="127"/>
    <tableColumn id="8" xr3:uid="{84206BB8-06D8-4726-9D81-82C15BD9970D}" name="Number of individuals taken reported on licence return 2025" dataDxfId="126" totalsRowDxfId="12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81257D7-E545-4F8E-9460-A0383D5ADEBF}" name="HWDLicencesIssued3538" displayName="HWDLicencesIssued3538" ref="A5:D6" totalsRowShown="0" headerRowDxfId="124" headerRowBorderDxfId="123" tableBorderDxfId="122" totalsRowBorderDxfId="121">
  <autoFilter ref="A5:D6" xr:uid="{230A911B-F59F-4E17-A640-FE3F2E8707F4}"/>
  <tableColumns count="4">
    <tableColumn id="1" xr3:uid="{E3D86EB7-9041-4E83-9835-331E8D2781FA}" name="Species" dataDxfId="120"/>
    <tableColumn id="2" xr3:uid="{6D14D048-4CC4-4E09-806A-EBB6462A684D}" name="Number of licences issued 2023" dataDxfId="119"/>
    <tableColumn id="6" xr3:uid="{96A828DA-9D30-411A-BC93-5E3E7989FE43}" name="Number of licences issued 2024" dataDxfId="118"/>
    <tableColumn id="7" xr3:uid="{DF61498B-F370-4CAA-A136-21C671336A41}" name="Number of licences issued 2025" dataDxfId="11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0AA8519-13AB-4A7D-9EB9-88832A441275}" name="HWDNumbersTaken3739" displayName="HWDNumbersTaken3739" ref="A10:C11" totalsRowShown="0" headerRowDxfId="116" headerRowBorderDxfId="115" tableBorderDxfId="114" totalsRowBorderDxfId="113">
  <autoFilter ref="A10:C11" xr:uid="{8D068DD3-01A1-4195-9FB9-4C69DD57E732}"/>
  <tableColumns count="3">
    <tableColumn id="1" xr3:uid="{69672AD2-EB35-4E75-BBF0-BAC1C34C86CA}" name="Species" dataDxfId="112"/>
    <tableColumn id="6" xr3:uid="{B9C16E0F-8977-4244-A0CD-D30D0E7EC340}" name="Number of individuals taken reported on licence return 2024" dataDxfId="111"/>
    <tableColumn id="7" xr3:uid="{6C6D28A4-5AFD-4535-885A-74AF74BAB6D4}" name="Number of individuals taken reported on licence return 2025" dataDxfId="1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irSafetyNumbersTaken" displayName="AirSafetyNumbersTaken" ref="A68:H98" totalsRowCount="1" headerRowBorderDxfId="594" tableBorderDxfId="593" totalsRowBorderDxfId="592">
  <autoFilter ref="A68:H97" xr:uid="{00000000-0009-0000-0100-000003000000}"/>
  <sortState xmlns:xlrd2="http://schemas.microsoft.com/office/spreadsheetml/2017/richdata2" ref="A69:H97">
    <sortCondition ref="A68:A97"/>
  </sortState>
  <tableColumns count="8">
    <tableColumn id="1" xr3:uid="{00000000-0010-0000-0200-000001000000}" name="Species" totalsRowLabel="Total" dataDxfId="591" totalsRowDxfId="590"/>
    <tableColumn id="2" xr3:uid="{00000000-0010-0000-0200-000002000000}" name="Number of individuals taken reported on licence return 2019" totalsRowLabel="&gt;25" dataDxfId="589" totalsRowDxfId="588"/>
    <tableColumn id="3" xr3:uid="{00000000-0010-0000-0200-000003000000}" name="Number of individuals taken reported on licence return 2020" totalsRowFunction="sum" dataDxfId="587" totalsRowDxfId="586"/>
    <tableColumn id="4" xr3:uid="{00000000-0010-0000-0200-000004000000}" name="Number of individuals taken reported on licence return 2021" totalsRowFunction="sum" dataDxfId="585" totalsRowDxfId="584"/>
    <tableColumn id="5" xr3:uid="{00000000-0010-0000-0200-000005000000}" name="Number of individuals taken reported on licence return 2022" totalsRowFunction="sum" dataDxfId="583" totalsRowDxfId="582"/>
    <tableColumn id="6" xr3:uid="{00000000-0010-0000-0200-000006000000}" name="Number of individuals taken reported on licence return 2023" totalsRowFunction="sum" dataDxfId="581" totalsRowDxfId="580"/>
    <tableColumn id="7" xr3:uid="{C65C482A-0150-4A1D-A70C-FC847E766B21}" name="Number of individuals taken reported on licence return 2024" totalsRowFunction="sum" dataDxfId="579" totalsRowDxfId="578"/>
    <tableColumn id="8" xr3:uid="{876D9572-F29D-4661-9F1A-D9B35D0DF8F8}" name="Number of individuals taken reported on licence return 2025" dataDxfId="577" totalsRowDxfId="57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B000000}" name="RavenLicencesIssued" displayName="RavenLicencesIssued" ref="A4:H5" totalsRowShown="0" headerRowDxfId="109" headerRowBorderDxfId="108" tableBorderDxfId="107" totalsRowBorderDxfId="106">
  <autoFilter ref="A4:H5" xr:uid="{00000000-0009-0000-0100-000010000000}"/>
  <tableColumns count="8">
    <tableColumn id="1" xr3:uid="{00000000-0010-0000-1B00-000001000000}" name="Species" dataDxfId="105"/>
    <tableColumn id="2" xr3:uid="{00000000-0010-0000-1B00-000002000000}" name="Number of licences issued 2019" dataDxfId="104"/>
    <tableColumn id="3" xr3:uid="{00000000-0010-0000-1B00-000003000000}" name="Number of licences issued 2020" dataDxfId="103"/>
    <tableColumn id="4" xr3:uid="{00000000-0010-0000-1B00-000004000000}" name="Number of licences issued 2021" dataDxfId="102"/>
    <tableColumn id="5" xr3:uid="{00000000-0010-0000-1B00-000005000000}" name="Number of licences issued 2022" dataDxfId="101"/>
    <tableColumn id="6" xr3:uid="{00000000-0010-0000-1B00-000006000000}" name="Number of licences issued 2023" dataDxfId="100"/>
    <tableColumn id="7" xr3:uid="{5EA690D1-2082-4197-B262-9B3036C82CFF}" name="Number of licences issued 2024" dataDxfId="99"/>
    <tableColumn id="8" xr3:uid="{1F19AF91-0DEF-41AB-A06F-916548C1B2C8}" name="Number of licences issued 2025" dataDxfId="98"/>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C000000}" name="RavenPermittedNumbers" displayName="RavenPermittedNumbers" ref="A9:H10" totalsRowShown="0" headerRowDxfId="97" headerRowBorderDxfId="96" tableBorderDxfId="95" totalsRowBorderDxfId="94">
  <autoFilter ref="A9:H10" xr:uid="{00000000-0009-0000-0100-000011000000}"/>
  <tableColumns count="8">
    <tableColumn id="1" xr3:uid="{00000000-0010-0000-1C00-000001000000}" name="Species" dataDxfId="93"/>
    <tableColumn id="2" xr3:uid="{00000000-0010-0000-1C00-000002000000}" name="Number of individuals permitted to be killed 2019" dataDxfId="92"/>
    <tableColumn id="3" xr3:uid="{00000000-0010-0000-1C00-000003000000}" name="Number of individuals permitted to be killed 2020" dataDxfId="91"/>
    <tableColumn id="4" xr3:uid="{00000000-0010-0000-1C00-000004000000}" name="Number of individuals permitted to be killed 2021" dataDxfId="90"/>
    <tableColumn id="5" xr3:uid="{00000000-0010-0000-1C00-000005000000}" name="Number of individuals permitted to be killed 2022" dataDxfId="89"/>
    <tableColumn id="6" xr3:uid="{00000000-0010-0000-1C00-000006000000}" name="Number of individuals permitted to be killed 2023" dataDxfId="88"/>
    <tableColumn id="7" xr3:uid="{A66E4858-1A4C-429C-8967-BC8BB401FA87}" name="Number of individuals permitted to be killed 2024" dataDxfId="87"/>
    <tableColumn id="8" xr3:uid="{00F491C0-FAED-46EE-8459-B33D97C12CCB}" name="Number of individuals permitted to be killed 2025" dataDxfId="8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D000000}" name="RavenNumbersTaken" displayName="RavenNumbersTaken" ref="A14:H15" totalsRowShown="0" headerRowDxfId="85" headerRowBorderDxfId="84" tableBorderDxfId="83" totalsRowBorderDxfId="82">
  <autoFilter ref="A14:H15" xr:uid="{00000000-0009-0000-0100-000012000000}"/>
  <tableColumns count="8">
    <tableColumn id="1" xr3:uid="{00000000-0010-0000-1D00-000001000000}" name="Species" dataDxfId="81"/>
    <tableColumn id="2" xr3:uid="{00000000-0010-0000-1D00-000002000000}" name="Number of individuals taken reported on licence return 2019" dataDxfId="80"/>
    <tableColumn id="3" xr3:uid="{00000000-0010-0000-1D00-000003000000}" name="Number of individuals taken reported on licence return 2020" dataDxfId="79"/>
    <tableColumn id="4" xr3:uid="{00000000-0010-0000-1D00-000004000000}" name="Number of individuals taken reported on licence return 2021" dataDxfId="78"/>
    <tableColumn id="5" xr3:uid="{00000000-0010-0000-1D00-000005000000}" name="Number of individuals taken reported on licence return 2022" dataDxfId="77"/>
    <tableColumn id="6" xr3:uid="{00000000-0010-0000-1D00-000006000000}" name="Number of individuals taken reported on licence return 2023" dataDxfId="76"/>
    <tableColumn id="7" xr3:uid="{3BE1C25F-6BC1-47EE-9E8C-5225AEC6D9E9}" name="Number of individuals taken reported on licence return 2024" dataDxfId="75"/>
    <tableColumn id="8" xr3:uid="{385472AE-60BF-436A-8915-07A975ADB1D7}" name="Number of individuals taken reported on licence return 2025" dataDxfId="74"/>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30A911B-F59F-4E17-A640-FE3F2E8707F4}" name="RedGrouseLicencesIssued35" displayName="RedGrouseLicencesIssued35" ref="A5:C6" totalsRowShown="0" headerRowDxfId="73" headerRowBorderDxfId="72" tableBorderDxfId="71" totalsRowBorderDxfId="70">
  <autoFilter ref="A5:C6" xr:uid="{230A911B-F59F-4E17-A640-FE3F2E8707F4}"/>
  <tableColumns count="3">
    <tableColumn id="1" xr3:uid="{DEEF4E4C-5E3C-4D94-8974-1A25BD2AD6D5}" name="Species" dataDxfId="69"/>
    <tableColumn id="6" xr3:uid="{6AC190CF-5B05-4D9B-B17B-956C421C957C}" name="Number of licences issued 2024" dataDxfId="68"/>
    <tableColumn id="7" xr3:uid="{8F642C5A-BE6B-49EA-9F14-10B2F3D73FCC}" name="Number of licences issued 2025" dataDxfId="67"/>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D068DD3-01A1-4195-9FB9-4C69DD57E732}" name="RedGrouseNumbersTaken37" displayName="RedGrouseNumbersTaken37" ref="A10:C11" totalsRowShown="0" headerRowDxfId="66" headerRowBorderDxfId="65" tableBorderDxfId="64" totalsRowBorderDxfId="63">
  <autoFilter ref="A10:C11" xr:uid="{8D068DD3-01A1-4195-9FB9-4C69DD57E732}"/>
  <tableColumns count="3">
    <tableColumn id="1" xr3:uid="{E3ED8045-E665-4FE9-8DA7-7A77FF02D9D0}" name="Species" dataDxfId="62"/>
    <tableColumn id="6" xr3:uid="{B3F10EC0-F5E7-42B6-99A1-3597F2DF6332}" name="Number of individuals taken reported on licence return 2024" dataDxfId="61"/>
    <tableColumn id="7" xr3:uid="{10EB20E8-0B29-43B6-B143-78DED664A5DB}" name="Number of individuals taken reported on licence return 2025" dataDxfId="60"/>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SRELicencesIssued" displayName="SRELicencesIssued" ref="A4:H33" totalsRowCount="1" headerRowDxfId="59" headerRowBorderDxfId="58" tableBorderDxfId="57" totalsRowBorderDxfId="56">
  <autoFilter ref="A4:H32" xr:uid="{00000000-0009-0000-0100-00001F000000}"/>
  <sortState xmlns:xlrd2="http://schemas.microsoft.com/office/spreadsheetml/2017/richdata2" ref="A5:G32">
    <sortCondition ref="A4:A32"/>
  </sortState>
  <tableColumns count="8">
    <tableColumn id="1" xr3:uid="{00000000-0010-0000-1E00-000001000000}" name="Species" totalsRowLabel="Total number of licences" dataDxfId="55" totalsRowDxfId="54"/>
    <tableColumn id="2" xr3:uid="{00000000-0010-0000-1E00-000002000000}" name="Number of licences issued 2019" totalsRowLabel="2" dataDxfId="53" totalsRowDxfId="52"/>
    <tableColumn id="3" xr3:uid="{00000000-0010-0000-1E00-000003000000}" name="Number of licences issued 2020" totalsRowFunction="sum" dataDxfId="51" totalsRowDxfId="50"/>
    <tableColumn id="4" xr3:uid="{00000000-0010-0000-1E00-000004000000}" name="Number of licences issued 2021" totalsRowLabel="5" dataDxfId="49" totalsRowDxfId="48"/>
    <tableColumn id="5" xr3:uid="{00000000-0010-0000-1E00-000005000000}" name="Number of licences issued 2022" totalsRowLabel="1" dataDxfId="47" totalsRowDxfId="46"/>
    <tableColumn id="6" xr3:uid="{00000000-0010-0000-1E00-000006000000}" name="Number of licences issued 2023" totalsRowFunction="sum" dataDxfId="45" totalsRowDxfId="44"/>
    <tableColumn id="7" xr3:uid="{605E9D6E-968F-43B8-9A8A-5FBAF68D1147}" name="Number of licences issued 2024" totalsRowLabel="6" dataDxfId="43" totalsRowDxfId="42"/>
    <tableColumn id="8" xr3:uid="{C5877050-8BFE-489F-82EB-71CE3B23C60E}" name="Number of licences issued 2025" totalsRowLabel="2" dataDxfId="41" totalsRowDxfId="40"/>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SREPermittedNumbers" displayName="SREPermittedNumbers" ref="A37:H66" totalsRowCount="1" headerRowDxfId="39" headerRowBorderDxfId="38" tableBorderDxfId="37" totalsRowBorderDxfId="36">
  <autoFilter ref="A37:H65" xr:uid="{00000000-0009-0000-0100-000020000000}"/>
  <sortState xmlns:xlrd2="http://schemas.microsoft.com/office/spreadsheetml/2017/richdata2" ref="A38:G65">
    <sortCondition ref="A37:A65"/>
  </sortState>
  <tableColumns count="8">
    <tableColumn id="1" xr3:uid="{00000000-0010-0000-1F00-000001000000}" name="Species" totalsRowLabel="Total" dataDxfId="35" totalsRowDxfId="34"/>
    <tableColumn id="2" xr3:uid="{00000000-0010-0000-1F00-000002000000}" name="Number of individuals permitted to be killed 2019" totalsRowFunction="sum" dataDxfId="33" totalsRowDxfId="32"/>
    <tableColumn id="3" xr3:uid="{00000000-0010-0000-1F00-000003000000}" name="Number of individuals permitted to be killed 2020" totalsRowFunction="sum" dataDxfId="31" totalsRowDxfId="30"/>
    <tableColumn id="4" xr3:uid="{00000000-0010-0000-1F00-000004000000}" name="Number of individuals permitted to be killed 2021" totalsRowFunction="sum" dataDxfId="29" totalsRowDxfId="28"/>
    <tableColumn id="5" xr3:uid="{00000000-0010-0000-1F00-000005000000}" name="Number of individuals permitted to be killed 2022" totalsRowFunction="sum" dataDxfId="27" totalsRowDxfId="26"/>
    <tableColumn id="6" xr3:uid="{00000000-0010-0000-1F00-000006000000}" name="Number of individuals permitted to be killed 2023" totalsRowFunction="sum" dataDxfId="25" totalsRowDxfId="24"/>
    <tableColumn id="7" xr3:uid="{35D59768-6690-401B-AC85-640242467969}" name="Number of individuals permitted to be killed 2024" totalsRowLabel="&gt;42" dataDxfId="23" totalsRowDxfId="22"/>
    <tableColumn id="8" xr3:uid="{87F57BEC-4838-4406-9C3C-F2B8C767D2F5}" name="Number of individuals permitted to be killed 2025" totalsRowLabel="&gt;42" dataDxfId="21" totalsRowDxfId="20"/>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SRENumbersTaken" displayName="SRENumbersTaken" ref="A70:H99" totalsRowCount="1" headerRowDxfId="19" headerRowBorderDxfId="18" tableBorderDxfId="17" totalsRowBorderDxfId="16">
  <autoFilter ref="A70:H98" xr:uid="{00000000-0009-0000-0100-000021000000}"/>
  <sortState xmlns:xlrd2="http://schemas.microsoft.com/office/spreadsheetml/2017/richdata2" ref="A71:F97">
    <sortCondition ref="A70:A97"/>
  </sortState>
  <tableColumns count="8">
    <tableColumn id="1" xr3:uid="{00000000-0010-0000-2000-000001000000}" name="Species" totalsRowLabel="Total" dataDxfId="15" totalsRowDxfId="14"/>
    <tableColumn id="2" xr3:uid="{00000000-0010-0000-2000-000002000000}" name="Number of individuals taken reported on licence return 2019" totalsRowFunction="sum" dataDxfId="13" totalsRowDxfId="12"/>
    <tableColumn id="3" xr3:uid="{00000000-0010-0000-2000-000003000000}" name="Number of individuals taken reported on licence return 2020" totalsRowFunction="sum" dataDxfId="11" totalsRowDxfId="10"/>
    <tableColumn id="4" xr3:uid="{00000000-0010-0000-2000-000004000000}" name="Number of individuals taken reported on licence return 2021" totalsRowFunction="sum" dataDxfId="9" totalsRowDxfId="8"/>
    <tableColumn id="5" xr3:uid="{00000000-0010-0000-2000-000005000000}" name="Number of individuals taken reported on licence return 2022" totalsRowFunction="sum" dataDxfId="7" totalsRowDxfId="6"/>
    <tableColumn id="6" xr3:uid="{00000000-0010-0000-2000-000006000000}" name="Number of individuals taken reported on licence return 2023" totalsRowFunction="sum" dataDxfId="5" totalsRowDxfId="4"/>
    <tableColumn id="7" xr3:uid="{363B5E11-BB65-491C-A208-962E22D5D2E8}" name="Number of individuals taken reported on licence return 2024" totalsRowFunction="sum" dataDxfId="3" totalsRowDxfId="2"/>
    <tableColumn id="8" xr3:uid="{4C98D9AC-8DAB-4AF8-BB01-6948DF9028C1}" name="Number of individuals taken reported on licence return 2025" dataDxfId="1" totalsRow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BeaverLicencesIssued" displayName="BeaverLicencesIssued" ref="A4:H5" totalsRowShown="0" headerRowDxfId="575" headerRowBorderDxfId="574" tableBorderDxfId="573" totalsRowBorderDxfId="572">
  <autoFilter ref="A4:H5" xr:uid="{00000000-0009-0000-0100-000019000000}"/>
  <tableColumns count="8">
    <tableColumn id="1" xr3:uid="{00000000-0010-0000-0300-000001000000}" name="Species" dataDxfId="571"/>
    <tableColumn id="2" xr3:uid="{00000000-0010-0000-0300-000002000000}" name="Number of licences issued 2019" dataDxfId="570"/>
    <tableColumn id="3" xr3:uid="{00000000-0010-0000-0300-000003000000}" name="Number of licences issued 2020" dataDxfId="569"/>
    <tableColumn id="4" xr3:uid="{00000000-0010-0000-0300-000004000000}" name="Number of licences issued 2021" dataDxfId="568"/>
    <tableColumn id="5" xr3:uid="{00000000-0010-0000-0300-000005000000}" name="Number of licences issued 2022" dataDxfId="567"/>
    <tableColumn id="6" xr3:uid="{00000000-0010-0000-0300-000006000000}" name="Number of licences issued 2023" dataDxfId="566"/>
    <tableColumn id="7" xr3:uid="{D03D9B3F-BB31-43D6-8C0F-3F6E82CF8AD3}" name="Number of licences issued 2024" dataDxfId="565"/>
    <tableColumn id="8" xr3:uid="{32EE565B-7646-43EC-A5B2-86E137098609}" name="Number of licences issued 2025" dataDxfId="56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BeaverPermittedNumbers" displayName="BeaverPermittedNumbers" ref="A9:H10" totalsRowShown="0" headerRowDxfId="563" headerRowBorderDxfId="562" tableBorderDxfId="561" totalsRowBorderDxfId="560">
  <autoFilter ref="A9:H10" xr:uid="{00000000-0009-0000-0100-00001A000000}"/>
  <tableColumns count="8">
    <tableColumn id="1" xr3:uid="{00000000-0010-0000-0400-000001000000}" name="Species" dataDxfId="559"/>
    <tableColumn id="2" xr3:uid="{00000000-0010-0000-0400-000002000000}" name="Number of individuals permitted to be killed 2019"/>
    <tableColumn id="3" xr3:uid="{00000000-0010-0000-0400-000003000000}" name="Number of individuals permitted to be killed 2020"/>
    <tableColumn id="4" xr3:uid="{00000000-0010-0000-0400-000004000000}" name="Number of individuals permitted to be killed 2021"/>
    <tableColumn id="5" xr3:uid="{00000000-0010-0000-0400-000005000000}" name="Number of individuals permitted to be killed 2022" dataDxfId="558"/>
    <tableColumn id="6" xr3:uid="{00000000-0010-0000-0400-000006000000}" name="Number of individuals permitted to be killed 2023" dataDxfId="557"/>
    <tableColumn id="7" xr3:uid="{71B39080-93CF-4910-9553-22F3EA21E2E3}" name="Number of individuals permitted to be killed 2024" dataDxfId="556"/>
    <tableColumn id="8" xr3:uid="{00D62EF9-98C3-402C-BA25-A99915C1B1DE}" name="Number of individuals permitted to be killed 2025" dataDxfId="55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5000000}" name="BeaverNumbersTaken" displayName="BeaverNumbersTaken" ref="A15:H16" totalsRowShown="0" headerRowDxfId="554" headerRowBorderDxfId="553" tableBorderDxfId="552" totalsRowBorderDxfId="551">
  <autoFilter ref="A15:H16" xr:uid="{00000000-0009-0000-0100-00001B000000}"/>
  <tableColumns count="8">
    <tableColumn id="1" xr3:uid="{00000000-0010-0000-0500-000001000000}" name="Species" dataDxfId="550"/>
    <tableColumn id="2" xr3:uid="{00000000-0010-0000-0500-000002000000}" name="Number of individuals taken reported on licence return 2019" dataDxfId="549"/>
    <tableColumn id="3" xr3:uid="{00000000-0010-0000-0500-000003000000}" name="Number of individuals taken reported on licence return 2020" dataDxfId="548"/>
    <tableColumn id="4" xr3:uid="{00000000-0010-0000-0500-000004000000}" name="Number of individuals taken reported on licence return 2021" dataDxfId="547"/>
    <tableColumn id="5" xr3:uid="{00000000-0010-0000-0500-000005000000}" name="Number of individuals taken reported on licence return 2022" dataDxfId="546"/>
    <tableColumn id="6" xr3:uid="{00000000-0010-0000-0500-000006000000}" name="Number of individuals taken reported on licence return 2023" dataDxfId="545"/>
    <tableColumn id="7" xr3:uid="{E1929F38-4760-4572-9A5E-C16D85AE2074}" name="Number of individuals taken reported on licence return 2024" dataDxfId="544"/>
    <tableColumn id="8" xr3:uid="{2D5422CA-5B61-497F-8937-4B1E5D5B0F43}" name="Number of individuals taken reported on licence return 2025" dataDxfId="5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6000000}" name="OtherBirdLicencesIssued" displayName="OtherBirdLicencesIssued" ref="A4:H24" totalsRowCount="1" headerRowDxfId="542" headerRowBorderDxfId="541" tableBorderDxfId="540" totalsRowBorderDxfId="539">
  <autoFilter ref="A4:H23" xr:uid="{00000000-0009-0000-0100-00001C000000}"/>
  <tableColumns count="8">
    <tableColumn id="1" xr3:uid="{00000000-0010-0000-0600-000001000000}" name="Species" totalsRowLabel="Total number of licences" dataDxfId="538" totalsRowDxfId="537"/>
    <tableColumn id="2" xr3:uid="{00000000-0010-0000-0600-000002000000}" name="Number of licences issued 2019" totalsRowLabel="3" dataDxfId="536" totalsRowDxfId="535"/>
    <tableColumn id="3" xr3:uid="{00000000-0010-0000-0600-000003000000}" name="Number of licences issued 2020" totalsRowLabel="5" dataDxfId="534" totalsRowDxfId="533"/>
    <tableColumn id="4" xr3:uid="{00000000-0010-0000-0600-000004000000}" name="Number of licences issued 2021" totalsRowLabel="4" dataDxfId="532" totalsRowDxfId="531"/>
    <tableColumn id="5" xr3:uid="{00000000-0010-0000-0600-000005000000}" name="Number of licences issued 2022" totalsRowLabel="6" dataDxfId="530" totalsRowDxfId="529"/>
    <tableColumn id="6" xr3:uid="{00000000-0010-0000-0600-000006000000}" name="Number of licences issued 2023" totalsRowLabel="2" dataDxfId="528" totalsRowDxfId="527"/>
    <tableColumn id="7" xr3:uid="{B993BA68-DDD9-4280-970D-4DAB2D838A07}" name="Number of licences issued 2024" totalsRowLabel="2" dataDxfId="526" totalsRowDxfId="525"/>
    <tableColumn id="8" xr3:uid="{F2433C30-D2C4-43E3-A30C-7F17E550391E}" name="Number of licences issued 2025" totalsRowLabel="2" dataDxfId="524" totalsRowDxfId="52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OtherBirdPermittedNumbers" displayName="OtherBirdPermittedNumbers" ref="A28:H48" totalsRowCount="1" headerRowDxfId="522" headerRowBorderDxfId="521" tableBorderDxfId="520" totalsRowBorderDxfId="519">
  <autoFilter ref="A28:H47" xr:uid="{00000000-0009-0000-0100-00001D000000}"/>
  <tableColumns count="8">
    <tableColumn id="1" xr3:uid="{00000000-0010-0000-0700-000001000000}" name="Species" totalsRowLabel="Total" dataDxfId="518" totalsRowDxfId="517"/>
    <tableColumn id="2" xr3:uid="{00000000-0010-0000-0700-000002000000}" name="Number of individuals permitted to be killed 2019" totalsRowFunction="sum" dataDxfId="516" totalsRowDxfId="515"/>
    <tableColumn id="3" xr3:uid="{00000000-0010-0000-0700-000003000000}" name="Number of individuals permitted to be killed 2020" totalsRowLabel="&gt;2147" dataDxfId="514" totalsRowDxfId="513"/>
    <tableColumn id="4" xr3:uid="{00000000-0010-0000-0700-000004000000}" name="Number of individuals permitted to be killed 2021" totalsRowLabel="&gt;2051" dataDxfId="512" totalsRowDxfId="511"/>
    <tableColumn id="5" xr3:uid="{00000000-0010-0000-0700-000005000000}" name="Number of individuals permitted to be killed 2022" totalsRowLabel="As Required" dataDxfId="510" totalsRowDxfId="509"/>
    <tableColumn id="6" xr3:uid="{00000000-0010-0000-0700-000006000000}" name="Number of individuals permitted to be killed 2023" totalsRowLabel="As Required" dataDxfId="508" totalsRowDxfId="507"/>
    <tableColumn id="7" xr3:uid="{36DD7149-78F7-48D7-A300-243FDBAB2C7A}" name="Number of individuals permitted to be killed 2024" totalsRowLabel="As Required" dataDxfId="506" totalsRowDxfId="505"/>
    <tableColumn id="8" xr3:uid="{E1FE8377-9E11-4D19-B8E6-1B086D3A1F70}" name="Number of individuals permitted to be killed 2025" totalsRowLabel="&gt;500" dataDxfId="504" totalsRowDxfId="50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8000000}" name="OtherBirdNumbersTaken" displayName="OtherBirdNumbersTaken" ref="A53:H73" totalsRowCount="1" headerRowDxfId="502" headerRowBorderDxfId="501" tableBorderDxfId="500" totalsRowBorderDxfId="499">
  <autoFilter ref="A53:H72" xr:uid="{00000000-0009-0000-0100-00001E000000}"/>
  <tableColumns count="8">
    <tableColumn id="1" xr3:uid="{00000000-0010-0000-0800-000001000000}" name="Species" totalsRowLabel="Total" dataDxfId="498" totalsRowDxfId="497"/>
    <tableColumn id="2" xr3:uid="{00000000-0010-0000-0800-000002000000}" name="Number of individuals taken reported on licence return 2019" totalsRowFunction="sum" dataDxfId="496" totalsRowDxfId="495"/>
    <tableColumn id="3" xr3:uid="{00000000-0010-0000-0800-000003000000}" name="Number of individuals taken reported on licence return 2020" totalsRowFunction="sum" dataDxfId="494" totalsRowDxfId="493"/>
    <tableColumn id="4" xr3:uid="{00000000-0010-0000-0800-000004000000}" name="Number of individuals taken reported on licence return 2021" totalsRowFunction="sum" dataDxfId="492" totalsRowDxfId="491"/>
    <tableColumn id="5" xr3:uid="{00000000-0010-0000-0800-000005000000}" name="Number of individuals taken reported on licence return 2022" totalsRowFunction="sum" dataDxfId="490" totalsRowDxfId="489"/>
    <tableColumn id="6" xr3:uid="{00000000-0010-0000-0800-000006000000}" name="Number of individuals taken reported on licence return 2023" totalsRowFunction="sum" dataDxfId="488" totalsRowDxfId="487"/>
    <tableColumn id="7" xr3:uid="{9DE911E9-7DF4-4903-8D63-F588C1DDB1CD}" name="Number of individuals taken reported on licence return 2024" totalsRowFunction="sum" dataDxfId="486" totalsRowDxfId="485"/>
    <tableColumn id="8" xr3:uid="{A9793FAF-28D1-4F55-A6E0-1D1A0A3099CB}" name="Number of individuals taken reported on licence return 2025" dataDxfId="484" totalsRowDxfId="48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ture.scot/professional-advice/protected-areas-and-species/licensing/licensing-process" TargetMode="External"/><Relationship Id="rId1" Type="http://schemas.openxmlformats.org/officeDocument/2006/relationships/hyperlink" Target="https://www.nature.scot/professional-advice/protected-areas-and-species/licensing/species-licensing-legislation"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1.bin"/><Relationship Id="rId4" Type="http://schemas.openxmlformats.org/officeDocument/2006/relationships/table" Target="../tables/table3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printerSettings" Target="../printerSettings/printerSettings13.bin"/><Relationship Id="rId4"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ature.scot/renewed-general-licence-increases-protection-scotlands-wild-birds" TargetMode="External"/><Relationship Id="rId1" Type="http://schemas.openxmlformats.org/officeDocument/2006/relationships/hyperlink" Target="https://www.nature.scot/doc/general-licence-gl-022023-kill-or-take-certain-birds-prevention-serious-damage-livestock-foodstuffs" TargetMode="Externa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printerSettings" Target="../printerSettings/printerSettings7.bin"/><Relationship Id="rId1" Type="http://schemas.openxmlformats.org/officeDocument/2006/relationships/hyperlink" Target="https://www.nature.scot/professional-advice/protected-areas-and-species/licensing/licensing-news" TargetMode="External"/><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8.bin"/><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9.bin"/><Relationship Id="rId4" Type="http://schemas.openxmlformats.org/officeDocument/2006/relationships/table" Target="../tables/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zoomScaleNormal="100" workbookViewId="0"/>
  </sheetViews>
  <sheetFormatPr defaultRowHeight="14.5" x14ac:dyDescent="0.35"/>
  <cols>
    <col min="1" max="1" width="103.453125" customWidth="1"/>
    <col min="2" max="2" width="38" customWidth="1"/>
  </cols>
  <sheetData>
    <row r="1" spans="1:2" ht="26" x14ac:dyDescent="0.6">
      <c r="A1" s="1" t="s">
        <v>210</v>
      </c>
      <c r="B1" s="2"/>
    </row>
    <row r="2" spans="1:2" x14ac:dyDescent="0.35">
      <c r="A2" s="2"/>
      <c r="B2" s="2"/>
    </row>
    <row r="3" spans="1:2" ht="29" x14ac:dyDescent="0.35">
      <c r="A3" s="3" t="s">
        <v>0</v>
      </c>
      <c r="B3" s="38" t="s">
        <v>1</v>
      </c>
    </row>
    <row r="4" spans="1:2" ht="10" customHeight="1" x14ac:dyDescent="0.35">
      <c r="A4" s="3"/>
      <c r="B4" s="38"/>
    </row>
    <row r="5" spans="1:2" ht="29" x14ac:dyDescent="0.35">
      <c r="A5" s="3" t="s">
        <v>2</v>
      </c>
      <c r="B5" s="38" t="s">
        <v>3</v>
      </c>
    </row>
    <row r="6" spans="1:2" x14ac:dyDescent="0.35">
      <c r="A6" s="2"/>
      <c r="B6" s="2"/>
    </row>
    <row r="7" spans="1:2" ht="26" x14ac:dyDescent="0.6">
      <c r="A7" s="1" t="s">
        <v>4</v>
      </c>
      <c r="B7" s="2"/>
    </row>
    <row r="8" spans="1:2" ht="15" customHeight="1" x14ac:dyDescent="0.6">
      <c r="A8" s="1"/>
      <c r="B8" s="2"/>
    </row>
    <row r="9" spans="1:2" ht="29" x14ac:dyDescent="0.35">
      <c r="A9" s="3" t="s">
        <v>217</v>
      </c>
      <c r="B9" s="2"/>
    </row>
    <row r="10" spans="1:2" ht="10" customHeight="1" x14ac:dyDescent="0.35">
      <c r="A10" s="3"/>
      <c r="B10" s="2"/>
    </row>
    <row r="11" spans="1:2" ht="43.5" x14ac:dyDescent="0.35">
      <c r="A11" s="3" t="s">
        <v>5</v>
      </c>
      <c r="B11" s="2"/>
    </row>
    <row r="12" spans="1:2" ht="10" customHeight="1" x14ac:dyDescent="0.35">
      <c r="A12" s="3"/>
      <c r="B12" s="2"/>
    </row>
    <row r="13" spans="1:2" x14ac:dyDescent="0.35">
      <c r="A13" s="3" t="s">
        <v>8</v>
      </c>
      <c r="B13" s="2"/>
    </row>
    <row r="14" spans="1:2" ht="10" customHeight="1" x14ac:dyDescent="0.35">
      <c r="A14" s="3"/>
      <c r="B14" s="2"/>
    </row>
    <row r="15" spans="1:2" ht="29" x14ac:dyDescent="0.35">
      <c r="A15" s="3" t="s">
        <v>6</v>
      </c>
      <c r="B15" s="2"/>
    </row>
    <row r="16" spans="1:2" ht="10" customHeight="1" x14ac:dyDescent="0.35">
      <c r="A16" s="3"/>
      <c r="B16" s="2"/>
    </row>
    <row r="17" spans="1:2" ht="72.5" x14ac:dyDescent="0.35">
      <c r="A17" s="5" t="s">
        <v>150</v>
      </c>
      <c r="B17" s="2"/>
    </row>
    <row r="18" spans="1:2" ht="10" customHeight="1" x14ac:dyDescent="0.35">
      <c r="A18" s="5"/>
      <c r="B18" s="2"/>
    </row>
    <row r="19" spans="1:2" ht="43.5" x14ac:dyDescent="0.35">
      <c r="A19" s="5" t="s">
        <v>211</v>
      </c>
      <c r="B19" s="2"/>
    </row>
    <row r="20" spans="1:2" ht="29" x14ac:dyDescent="0.35">
      <c r="A20" s="5" t="s">
        <v>209</v>
      </c>
      <c r="B20" s="2"/>
    </row>
    <row r="21" spans="1:2" x14ac:dyDescent="0.35">
      <c r="A21" s="5"/>
      <c r="B21" s="2"/>
    </row>
    <row r="22" spans="1:2" ht="29" x14ac:dyDescent="0.35">
      <c r="A22" s="5" t="s">
        <v>7</v>
      </c>
      <c r="B22" s="2"/>
    </row>
    <row r="23" spans="1:2" x14ac:dyDescent="0.35">
      <c r="A23" s="4"/>
      <c r="B23" s="2"/>
    </row>
    <row r="24" spans="1:2" x14ac:dyDescent="0.35">
      <c r="A24" s="2"/>
      <c r="B24" s="2"/>
    </row>
    <row r="25" spans="1:2" x14ac:dyDescent="0.35">
      <c r="A25" s="2"/>
      <c r="B25" s="2"/>
    </row>
    <row r="26" spans="1:2" x14ac:dyDescent="0.35">
      <c r="A26" s="2"/>
      <c r="B26" s="2"/>
    </row>
  </sheetData>
  <hyperlinks>
    <hyperlink ref="B3" r:id="rId1" xr:uid="{00000000-0004-0000-0000-000000000000}"/>
    <hyperlink ref="B5" r:id="rId2" display="NatureScot licesning process"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3CBA-FA5F-408D-B197-698C833A5039}">
  <dimension ref="A1:F12"/>
  <sheetViews>
    <sheetView workbookViewId="0">
      <selection activeCell="F5" sqref="F5"/>
    </sheetView>
  </sheetViews>
  <sheetFormatPr defaultRowHeight="14.5" x14ac:dyDescent="0.35"/>
  <cols>
    <col min="1" max="1" width="13.81640625" customWidth="1"/>
    <col min="2" max="3" width="10.26953125" customWidth="1"/>
  </cols>
  <sheetData>
    <row r="1" spans="1:6" x14ac:dyDescent="0.35">
      <c r="A1" s="6" t="s">
        <v>182</v>
      </c>
    </row>
    <row r="2" spans="1:6" x14ac:dyDescent="0.35">
      <c r="A2" s="53" t="s">
        <v>183</v>
      </c>
    </row>
    <row r="3" spans="1:6" x14ac:dyDescent="0.35">
      <c r="A3" s="51"/>
      <c r="B3" s="51"/>
      <c r="C3" s="51"/>
      <c r="D3" s="51"/>
      <c r="E3" s="51"/>
    </row>
    <row r="4" spans="1:6" x14ac:dyDescent="0.35">
      <c r="A4" s="21" t="s">
        <v>46</v>
      </c>
    </row>
    <row r="5" spans="1:6" ht="72.5" x14ac:dyDescent="0.35">
      <c r="A5" s="16" t="s">
        <v>10</v>
      </c>
      <c r="B5" s="39" t="s">
        <v>39</v>
      </c>
      <c r="C5" s="39" t="s">
        <v>151</v>
      </c>
      <c r="D5" s="39" t="s">
        <v>175</v>
      </c>
    </row>
    <row r="6" spans="1:6" x14ac:dyDescent="0.35">
      <c r="A6" s="12" t="s">
        <v>184</v>
      </c>
      <c r="B6" s="87">
        <v>6</v>
      </c>
      <c r="C6" s="14">
        <v>93</v>
      </c>
      <c r="D6" s="45">
        <v>60</v>
      </c>
    </row>
    <row r="9" spans="1:6" x14ac:dyDescent="0.35">
      <c r="A9" s="21" t="s">
        <v>53</v>
      </c>
    </row>
    <row r="10" spans="1:6" ht="101.5" x14ac:dyDescent="0.35">
      <c r="A10" s="16" t="s">
        <v>10</v>
      </c>
      <c r="B10" s="40" t="s">
        <v>153</v>
      </c>
      <c r="C10" s="39" t="s">
        <v>177</v>
      </c>
    </row>
    <row r="11" spans="1:6" x14ac:dyDescent="0.35">
      <c r="A11" s="12" t="s">
        <v>184</v>
      </c>
      <c r="B11" s="14">
        <v>88</v>
      </c>
      <c r="C11" s="61"/>
    </row>
    <row r="12" spans="1:6" x14ac:dyDescent="0.35">
      <c r="A12" s="86"/>
      <c r="B12" s="86"/>
      <c r="C12" s="86"/>
      <c r="D12" s="86"/>
      <c r="E12" s="86"/>
      <c r="F12" s="86"/>
    </row>
  </sheetData>
  <phoneticPr fontId="10" type="noConversion"/>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7"/>
  <sheetViews>
    <sheetView workbookViewId="0">
      <selection activeCell="J9" sqref="J9"/>
    </sheetView>
  </sheetViews>
  <sheetFormatPr defaultRowHeight="14.5" x14ac:dyDescent="0.35"/>
  <cols>
    <col min="1" max="6" width="10.26953125" customWidth="1"/>
    <col min="7" max="7" width="10.36328125" customWidth="1"/>
    <col min="8" max="8" width="10.26953125" customWidth="1"/>
  </cols>
  <sheetData>
    <row r="1" spans="1:8" x14ac:dyDescent="0.35">
      <c r="A1" s="6" t="s">
        <v>84</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12" t="s">
        <v>85</v>
      </c>
      <c r="B5" s="13">
        <v>15</v>
      </c>
      <c r="C5" s="13">
        <v>180</v>
      </c>
      <c r="D5" s="13">
        <v>170</v>
      </c>
      <c r="E5" s="13">
        <v>156</v>
      </c>
      <c r="F5" s="14">
        <v>149</v>
      </c>
      <c r="G5" s="45">
        <v>145</v>
      </c>
      <c r="H5" s="45">
        <v>152</v>
      </c>
    </row>
    <row r="8" spans="1:8" x14ac:dyDescent="0.35">
      <c r="A8" s="21" t="s">
        <v>47</v>
      </c>
    </row>
    <row r="9" spans="1:8" ht="72.5" x14ac:dyDescent="0.35">
      <c r="A9" s="16" t="s">
        <v>10</v>
      </c>
      <c r="B9" s="40" t="s">
        <v>41</v>
      </c>
      <c r="C9" s="40" t="s">
        <v>42</v>
      </c>
      <c r="D9" s="40" t="s">
        <v>43</v>
      </c>
      <c r="E9" s="40" t="s">
        <v>44</v>
      </c>
      <c r="F9" s="40" t="s">
        <v>45</v>
      </c>
      <c r="G9" s="39" t="s">
        <v>152</v>
      </c>
      <c r="H9" s="39" t="s">
        <v>176</v>
      </c>
    </row>
    <row r="10" spans="1:8" x14ac:dyDescent="0.35">
      <c r="A10" s="12" t="s">
        <v>85</v>
      </c>
      <c r="B10" s="13">
        <v>53</v>
      </c>
      <c r="C10" s="13">
        <v>897</v>
      </c>
      <c r="D10" s="13">
        <v>855</v>
      </c>
      <c r="E10" s="13">
        <v>773</v>
      </c>
      <c r="F10" s="14">
        <v>759</v>
      </c>
      <c r="G10" s="45">
        <v>753</v>
      </c>
      <c r="H10" s="45">
        <v>750</v>
      </c>
    </row>
    <row r="13" spans="1:8" x14ac:dyDescent="0.35">
      <c r="A13" s="21" t="s">
        <v>53</v>
      </c>
    </row>
    <row r="14" spans="1:8" ht="101.5" x14ac:dyDescent="0.35">
      <c r="A14" s="16" t="s">
        <v>10</v>
      </c>
      <c r="B14" s="40" t="s">
        <v>48</v>
      </c>
      <c r="C14" s="40" t="s">
        <v>49</v>
      </c>
      <c r="D14" s="40" t="s">
        <v>50</v>
      </c>
      <c r="E14" s="40" t="s">
        <v>51</v>
      </c>
      <c r="F14" s="40" t="s">
        <v>52</v>
      </c>
      <c r="G14" s="39" t="s">
        <v>153</v>
      </c>
      <c r="H14" s="39" t="s">
        <v>177</v>
      </c>
    </row>
    <row r="15" spans="1:8" x14ac:dyDescent="0.35">
      <c r="A15" s="12" t="s">
        <v>85</v>
      </c>
      <c r="B15" s="13">
        <v>44</v>
      </c>
      <c r="C15" s="13">
        <v>622</v>
      </c>
      <c r="D15" s="13">
        <v>583</v>
      </c>
      <c r="E15" s="13">
        <v>538</v>
      </c>
      <c r="F15" s="14">
        <v>557</v>
      </c>
      <c r="G15" s="45">
        <v>547</v>
      </c>
      <c r="H15" s="65"/>
    </row>
    <row r="17" spans="1:6" x14ac:dyDescent="0.35">
      <c r="A17" s="2"/>
      <c r="B17" s="2"/>
      <c r="C17" s="2"/>
      <c r="D17" s="2"/>
      <c r="E17" s="2"/>
      <c r="F17" s="2"/>
    </row>
  </sheetData>
  <phoneticPr fontId="10" type="noConversion"/>
  <pageMargins left="0.7" right="0.7" top="0.75" bottom="0.75" header="0.3" footer="0.3"/>
  <pageSetup paperSize="9" orientation="portrait"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CB55F-59E4-44F9-A528-8B7813A6AD12}">
  <dimension ref="A1:F12"/>
  <sheetViews>
    <sheetView workbookViewId="0">
      <selection activeCell="F10" sqref="F10"/>
    </sheetView>
  </sheetViews>
  <sheetFormatPr defaultRowHeight="14.5" x14ac:dyDescent="0.35"/>
  <cols>
    <col min="1" max="3" width="10.26953125" customWidth="1"/>
  </cols>
  <sheetData>
    <row r="1" spans="1:6" x14ac:dyDescent="0.35">
      <c r="A1" s="6" t="s">
        <v>181</v>
      </c>
    </row>
    <row r="2" spans="1:6" ht="27" customHeight="1" x14ac:dyDescent="0.35">
      <c r="A2" s="53" t="s">
        <v>180</v>
      </c>
      <c r="B2" s="3"/>
      <c r="C2" s="3"/>
      <c r="D2" s="3"/>
      <c r="E2" s="3"/>
    </row>
    <row r="3" spans="1:6" x14ac:dyDescent="0.35">
      <c r="A3" s="51"/>
      <c r="B3" s="51"/>
      <c r="C3" s="51"/>
      <c r="D3" s="51"/>
      <c r="E3" s="51"/>
    </row>
    <row r="4" spans="1:6" x14ac:dyDescent="0.35">
      <c r="A4" s="21" t="s">
        <v>46</v>
      </c>
    </row>
    <row r="5" spans="1:6" ht="58" x14ac:dyDescent="0.35">
      <c r="A5" s="16" t="s">
        <v>10</v>
      </c>
      <c r="B5" s="39" t="s">
        <v>151</v>
      </c>
      <c r="C5" s="39" t="s">
        <v>175</v>
      </c>
    </row>
    <row r="6" spans="1:6" x14ac:dyDescent="0.35">
      <c r="A6" s="12" t="s">
        <v>179</v>
      </c>
      <c r="B6" s="14">
        <v>243</v>
      </c>
      <c r="C6" s="45">
        <v>37</v>
      </c>
    </row>
    <row r="9" spans="1:6" x14ac:dyDescent="0.35">
      <c r="A9" s="21" t="s">
        <v>53</v>
      </c>
    </row>
    <row r="10" spans="1:6" ht="101.5" x14ac:dyDescent="0.35">
      <c r="A10" s="16" t="s">
        <v>10</v>
      </c>
      <c r="B10" s="40" t="s">
        <v>153</v>
      </c>
      <c r="C10" s="39" t="s">
        <v>177</v>
      </c>
    </row>
    <row r="11" spans="1:6" x14ac:dyDescent="0.35">
      <c r="A11" s="12" t="s">
        <v>179</v>
      </c>
      <c r="B11" s="14">
        <v>9048</v>
      </c>
      <c r="C11" s="61"/>
    </row>
    <row r="12" spans="1:6" x14ac:dyDescent="0.35">
      <c r="A12" s="2"/>
      <c r="B12" s="2"/>
      <c r="C12" s="2"/>
      <c r="D12" s="2"/>
      <c r="E12" s="2"/>
      <c r="F12" s="2"/>
    </row>
  </sheetData>
  <pageMargins left="0.7" right="0.7" top="0.75" bottom="0.75" header="0.3" footer="0.3"/>
  <pageSetup paperSize="9" orientation="portrait"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0"/>
  <sheetViews>
    <sheetView zoomScaleNormal="100" workbookViewId="0">
      <selection activeCell="I37" sqref="I37"/>
    </sheetView>
  </sheetViews>
  <sheetFormatPr defaultRowHeight="14.5" x14ac:dyDescent="0.35"/>
  <cols>
    <col min="1" max="1" width="22.1796875" customWidth="1"/>
    <col min="2" max="5" width="10.26953125" customWidth="1"/>
    <col min="6" max="6" width="11.453125" customWidth="1"/>
    <col min="7" max="7" width="10.54296875" customWidth="1"/>
    <col min="8" max="8" width="10.26953125" customWidth="1"/>
  </cols>
  <sheetData>
    <row r="1" spans="1:8" x14ac:dyDescent="0.35">
      <c r="A1" s="36" t="s">
        <v>171</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8" t="s">
        <v>108</v>
      </c>
      <c r="B5" s="7">
        <v>1</v>
      </c>
      <c r="C5" s="25">
        <v>0</v>
      </c>
      <c r="D5" s="25">
        <v>0</v>
      </c>
      <c r="E5" s="25">
        <v>0</v>
      </c>
      <c r="F5" s="25">
        <v>0</v>
      </c>
      <c r="G5" s="43">
        <v>1</v>
      </c>
      <c r="H5" s="43">
        <v>0</v>
      </c>
    </row>
    <row r="6" spans="1:8" x14ac:dyDescent="0.35">
      <c r="A6" s="8" t="s">
        <v>111</v>
      </c>
      <c r="B6" s="25">
        <v>0</v>
      </c>
      <c r="C6" s="25">
        <v>0</v>
      </c>
      <c r="D6" s="7">
        <v>1</v>
      </c>
      <c r="E6" s="7">
        <v>1</v>
      </c>
      <c r="F6" s="25">
        <v>0</v>
      </c>
      <c r="G6" s="25">
        <v>1</v>
      </c>
      <c r="H6" s="25">
        <v>1</v>
      </c>
    </row>
    <row r="7" spans="1:8" x14ac:dyDescent="0.35">
      <c r="A7" s="8" t="s">
        <v>115</v>
      </c>
      <c r="B7" s="25">
        <v>0</v>
      </c>
      <c r="C7" s="25">
        <v>0</v>
      </c>
      <c r="D7" s="7">
        <v>1</v>
      </c>
      <c r="E7" s="7">
        <v>1</v>
      </c>
      <c r="F7" s="25">
        <v>0</v>
      </c>
      <c r="G7" s="25">
        <v>1</v>
      </c>
      <c r="H7" s="25">
        <v>1</v>
      </c>
    </row>
    <row r="8" spans="1:8" x14ac:dyDescent="0.35">
      <c r="A8" s="8" t="s">
        <v>113</v>
      </c>
      <c r="B8" s="25">
        <v>0</v>
      </c>
      <c r="C8" s="25">
        <v>0</v>
      </c>
      <c r="D8" s="7">
        <v>1</v>
      </c>
      <c r="E8" s="25">
        <v>0</v>
      </c>
      <c r="F8" s="25">
        <v>0</v>
      </c>
      <c r="G8" s="25">
        <v>0</v>
      </c>
      <c r="H8" s="25">
        <v>0</v>
      </c>
    </row>
    <row r="9" spans="1:8" x14ac:dyDescent="0.35">
      <c r="A9" s="8" t="s">
        <v>125</v>
      </c>
      <c r="B9" s="25">
        <v>0</v>
      </c>
      <c r="C9" s="25">
        <v>0</v>
      </c>
      <c r="D9" s="7">
        <v>1</v>
      </c>
      <c r="E9" s="7">
        <v>1</v>
      </c>
      <c r="F9" s="25">
        <v>0</v>
      </c>
      <c r="G9" s="25">
        <v>1</v>
      </c>
      <c r="H9" s="25">
        <v>1</v>
      </c>
    </row>
    <row r="10" spans="1:8" x14ac:dyDescent="0.35">
      <c r="A10" s="8" t="s">
        <v>127</v>
      </c>
      <c r="B10" s="25">
        <v>0</v>
      </c>
      <c r="C10" s="25">
        <v>0</v>
      </c>
      <c r="D10" s="7">
        <v>1</v>
      </c>
      <c r="E10" s="7">
        <v>1</v>
      </c>
      <c r="F10" s="25">
        <v>0</v>
      </c>
      <c r="G10" s="25">
        <v>1</v>
      </c>
      <c r="H10" s="25">
        <v>1</v>
      </c>
    </row>
    <row r="11" spans="1:8" x14ac:dyDescent="0.35">
      <c r="A11" s="8" t="s">
        <v>128</v>
      </c>
      <c r="B11" s="25">
        <v>0</v>
      </c>
      <c r="C11" s="25">
        <v>0</v>
      </c>
      <c r="D11" s="7">
        <v>1</v>
      </c>
      <c r="E11" s="7">
        <v>1</v>
      </c>
      <c r="F11" s="25">
        <v>0</v>
      </c>
      <c r="G11" s="25">
        <v>2</v>
      </c>
      <c r="H11" s="25">
        <v>1</v>
      </c>
    </row>
    <row r="12" spans="1:8" x14ac:dyDescent="0.35">
      <c r="A12" s="8" t="s">
        <v>129</v>
      </c>
      <c r="B12" s="25">
        <v>0</v>
      </c>
      <c r="C12" s="26">
        <v>0</v>
      </c>
      <c r="D12" s="7">
        <v>1</v>
      </c>
      <c r="E12" s="7">
        <v>1</v>
      </c>
      <c r="F12" s="25">
        <v>0</v>
      </c>
      <c r="G12" s="25">
        <v>1</v>
      </c>
      <c r="H12" s="25">
        <v>1</v>
      </c>
    </row>
    <row r="13" spans="1:8" x14ac:dyDescent="0.35">
      <c r="A13" s="8" t="s">
        <v>109</v>
      </c>
      <c r="B13" s="7">
        <v>1</v>
      </c>
      <c r="C13" s="26">
        <v>0</v>
      </c>
      <c r="D13" s="25">
        <v>0</v>
      </c>
      <c r="E13" s="25">
        <v>0</v>
      </c>
      <c r="F13" s="25">
        <v>1</v>
      </c>
      <c r="G13" s="25">
        <v>1</v>
      </c>
      <c r="H13" s="25">
        <v>0</v>
      </c>
    </row>
    <row r="14" spans="1:8" x14ac:dyDescent="0.35">
      <c r="A14" s="8" t="s">
        <v>132</v>
      </c>
      <c r="B14" s="25">
        <v>0</v>
      </c>
      <c r="C14" s="26">
        <v>0</v>
      </c>
      <c r="D14" s="7">
        <v>1</v>
      </c>
      <c r="E14" s="7">
        <v>1</v>
      </c>
      <c r="F14" s="25">
        <v>0</v>
      </c>
      <c r="G14" s="25">
        <v>1</v>
      </c>
      <c r="H14" s="25">
        <v>1</v>
      </c>
    </row>
    <row r="15" spans="1:8" x14ac:dyDescent="0.35">
      <c r="A15" s="8" t="s">
        <v>130</v>
      </c>
      <c r="B15" s="25">
        <v>0</v>
      </c>
      <c r="C15" s="26">
        <v>0</v>
      </c>
      <c r="D15" s="7">
        <v>1</v>
      </c>
      <c r="E15" s="7">
        <v>1</v>
      </c>
      <c r="F15" s="25">
        <v>0</v>
      </c>
      <c r="G15" s="25">
        <v>1</v>
      </c>
      <c r="H15" s="25">
        <v>1</v>
      </c>
    </row>
    <row r="16" spans="1:8" x14ac:dyDescent="0.35">
      <c r="A16" s="8" t="s">
        <v>116</v>
      </c>
      <c r="B16" s="25">
        <v>0</v>
      </c>
      <c r="C16" s="26">
        <v>0</v>
      </c>
      <c r="D16" s="7">
        <v>1</v>
      </c>
      <c r="E16" s="7">
        <v>1</v>
      </c>
      <c r="F16" s="25">
        <v>0</v>
      </c>
      <c r="G16" s="25">
        <v>1</v>
      </c>
      <c r="H16" s="25">
        <v>1</v>
      </c>
    </row>
    <row r="17" spans="1:8" x14ac:dyDescent="0.35">
      <c r="A17" s="8" t="s">
        <v>117</v>
      </c>
      <c r="B17" s="25">
        <v>0</v>
      </c>
      <c r="C17" s="26">
        <v>0</v>
      </c>
      <c r="D17" s="7">
        <v>2</v>
      </c>
      <c r="E17" s="7">
        <v>1</v>
      </c>
      <c r="F17" s="25">
        <v>0</v>
      </c>
      <c r="G17" s="25">
        <v>2</v>
      </c>
      <c r="H17" s="25">
        <v>2</v>
      </c>
    </row>
    <row r="18" spans="1:8" x14ac:dyDescent="0.35">
      <c r="A18" s="8" t="s">
        <v>133</v>
      </c>
      <c r="B18" s="25">
        <v>0</v>
      </c>
      <c r="C18" s="26">
        <v>0</v>
      </c>
      <c r="D18" s="7">
        <v>1</v>
      </c>
      <c r="E18" s="7">
        <v>1</v>
      </c>
      <c r="F18" s="25">
        <v>0</v>
      </c>
      <c r="G18" s="25">
        <v>1</v>
      </c>
      <c r="H18" s="25">
        <v>1</v>
      </c>
    </row>
    <row r="19" spans="1:8" x14ac:dyDescent="0.35">
      <c r="A19" s="8" t="s">
        <v>118</v>
      </c>
      <c r="B19" s="25">
        <v>0</v>
      </c>
      <c r="C19" s="26">
        <v>0</v>
      </c>
      <c r="D19" s="7">
        <v>1</v>
      </c>
      <c r="E19" s="7">
        <v>1</v>
      </c>
      <c r="F19" s="25">
        <v>0</v>
      </c>
      <c r="G19" s="25">
        <v>1</v>
      </c>
      <c r="H19" s="25">
        <v>1</v>
      </c>
    </row>
    <row r="20" spans="1:8" x14ac:dyDescent="0.35">
      <c r="A20" s="8" t="s">
        <v>114</v>
      </c>
      <c r="B20" s="25">
        <v>0</v>
      </c>
      <c r="C20" s="13">
        <v>1</v>
      </c>
      <c r="D20" s="7">
        <v>1</v>
      </c>
      <c r="E20" s="25">
        <v>0</v>
      </c>
      <c r="F20" s="25">
        <v>0</v>
      </c>
      <c r="G20" s="25">
        <v>0</v>
      </c>
      <c r="H20" s="25">
        <v>0</v>
      </c>
    </row>
    <row r="21" spans="1:8" x14ac:dyDescent="0.35">
      <c r="A21" s="8" t="s">
        <v>119</v>
      </c>
      <c r="B21" s="25">
        <v>0</v>
      </c>
      <c r="C21" s="26">
        <v>0</v>
      </c>
      <c r="D21" s="7">
        <v>1</v>
      </c>
      <c r="E21" s="7">
        <v>1</v>
      </c>
      <c r="F21" s="25">
        <v>0</v>
      </c>
      <c r="G21" s="25">
        <v>1</v>
      </c>
      <c r="H21" s="25">
        <v>1</v>
      </c>
    </row>
    <row r="22" spans="1:8" x14ac:dyDescent="0.35">
      <c r="A22" s="8" t="s">
        <v>120</v>
      </c>
      <c r="B22" s="25">
        <v>0</v>
      </c>
      <c r="C22" s="26">
        <v>0</v>
      </c>
      <c r="D22" s="7">
        <v>1</v>
      </c>
      <c r="E22" s="25">
        <v>0</v>
      </c>
      <c r="F22" s="25">
        <v>0</v>
      </c>
      <c r="G22" s="25">
        <v>0</v>
      </c>
      <c r="H22" s="25">
        <v>0</v>
      </c>
    </row>
    <row r="23" spans="1:8" x14ac:dyDescent="0.35">
      <c r="A23" s="8" t="s">
        <v>121</v>
      </c>
      <c r="B23" s="25">
        <v>0</v>
      </c>
      <c r="C23" s="26">
        <v>0</v>
      </c>
      <c r="D23" s="7">
        <v>1</v>
      </c>
      <c r="E23" s="7">
        <v>1</v>
      </c>
      <c r="F23" s="25">
        <v>0</v>
      </c>
      <c r="G23" s="25">
        <v>1</v>
      </c>
      <c r="H23" s="25">
        <v>1</v>
      </c>
    </row>
    <row r="24" spans="1:8" x14ac:dyDescent="0.35">
      <c r="A24" s="8" t="s">
        <v>110</v>
      </c>
      <c r="B24" s="7">
        <v>1</v>
      </c>
      <c r="C24" s="26">
        <v>0</v>
      </c>
      <c r="D24" s="7">
        <v>1</v>
      </c>
      <c r="E24" s="7">
        <v>1</v>
      </c>
      <c r="F24" s="25">
        <v>0</v>
      </c>
      <c r="G24" s="25">
        <v>2</v>
      </c>
      <c r="H24" s="25">
        <v>1</v>
      </c>
    </row>
    <row r="25" spans="1:8" x14ac:dyDescent="0.35">
      <c r="A25" s="8" t="s">
        <v>172</v>
      </c>
      <c r="B25" s="7">
        <v>0</v>
      </c>
      <c r="C25" s="25">
        <v>0</v>
      </c>
      <c r="D25" s="7">
        <v>0</v>
      </c>
      <c r="E25" s="7">
        <v>0</v>
      </c>
      <c r="F25" s="25">
        <v>2</v>
      </c>
      <c r="G25" s="25">
        <v>0</v>
      </c>
      <c r="H25" s="25">
        <v>0</v>
      </c>
    </row>
    <row r="26" spans="1:8" x14ac:dyDescent="0.35">
      <c r="A26" s="8" t="s">
        <v>122</v>
      </c>
      <c r="B26" s="25">
        <v>0</v>
      </c>
      <c r="C26" s="26">
        <v>0</v>
      </c>
      <c r="D26" s="7">
        <v>1</v>
      </c>
      <c r="E26" s="7">
        <v>1</v>
      </c>
      <c r="F26" s="25">
        <v>0</v>
      </c>
      <c r="G26" s="25">
        <v>1</v>
      </c>
      <c r="H26" s="25">
        <v>1</v>
      </c>
    </row>
    <row r="27" spans="1:8" x14ac:dyDescent="0.35">
      <c r="A27" s="8" t="s">
        <v>126</v>
      </c>
      <c r="B27" s="25">
        <v>0</v>
      </c>
      <c r="C27" s="26">
        <v>0</v>
      </c>
      <c r="D27" s="7">
        <v>1</v>
      </c>
      <c r="E27" s="7">
        <v>1</v>
      </c>
      <c r="F27" s="25">
        <v>0</v>
      </c>
      <c r="G27" s="25">
        <v>1</v>
      </c>
      <c r="H27" s="25">
        <v>1</v>
      </c>
    </row>
    <row r="28" spans="1:8" x14ac:dyDescent="0.35">
      <c r="A28" s="8" t="s">
        <v>131</v>
      </c>
      <c r="B28" s="25">
        <v>0</v>
      </c>
      <c r="C28" s="26">
        <v>0</v>
      </c>
      <c r="D28" s="7">
        <v>1</v>
      </c>
      <c r="E28" s="7">
        <v>1</v>
      </c>
      <c r="F28" s="25">
        <v>0</v>
      </c>
      <c r="G28" s="25">
        <v>1</v>
      </c>
      <c r="H28" s="25">
        <v>1</v>
      </c>
    </row>
    <row r="29" spans="1:8" x14ac:dyDescent="0.35">
      <c r="A29" s="8" t="s">
        <v>112</v>
      </c>
      <c r="B29" s="25">
        <v>0</v>
      </c>
      <c r="C29" s="26">
        <v>0</v>
      </c>
      <c r="D29" s="7">
        <v>1</v>
      </c>
      <c r="E29" s="7">
        <v>1</v>
      </c>
      <c r="F29" s="25">
        <v>0</v>
      </c>
      <c r="G29" s="25">
        <v>1</v>
      </c>
      <c r="H29" s="25">
        <v>1</v>
      </c>
    </row>
    <row r="30" spans="1:8" x14ac:dyDescent="0.35">
      <c r="A30" s="8" t="s">
        <v>198</v>
      </c>
      <c r="B30" s="25">
        <v>0</v>
      </c>
      <c r="C30" s="25">
        <v>0</v>
      </c>
      <c r="D30" s="7">
        <v>0</v>
      </c>
      <c r="E30" s="7">
        <v>0</v>
      </c>
      <c r="F30" s="25">
        <v>0</v>
      </c>
      <c r="G30" s="25">
        <v>1</v>
      </c>
      <c r="H30" s="25">
        <v>0</v>
      </c>
    </row>
    <row r="31" spans="1:8" x14ac:dyDescent="0.35">
      <c r="A31" s="8" t="s">
        <v>123</v>
      </c>
      <c r="B31" s="25">
        <v>0</v>
      </c>
      <c r="C31" s="26">
        <v>0</v>
      </c>
      <c r="D31" s="7">
        <v>1</v>
      </c>
      <c r="E31" s="7">
        <v>1</v>
      </c>
      <c r="F31" s="25">
        <v>0</v>
      </c>
      <c r="G31" s="25">
        <v>1</v>
      </c>
      <c r="H31" s="25">
        <v>1</v>
      </c>
    </row>
    <row r="32" spans="1:8" x14ac:dyDescent="0.35">
      <c r="A32" s="12" t="s">
        <v>124</v>
      </c>
      <c r="B32" s="25">
        <v>0</v>
      </c>
      <c r="C32" s="26">
        <v>0</v>
      </c>
      <c r="D32" s="13">
        <v>1</v>
      </c>
      <c r="E32" s="13">
        <v>1</v>
      </c>
      <c r="F32" s="25">
        <v>0</v>
      </c>
      <c r="G32" s="26">
        <v>1</v>
      </c>
      <c r="H32" s="26">
        <v>1</v>
      </c>
    </row>
    <row r="33" spans="1:8" x14ac:dyDescent="0.35">
      <c r="A33" s="32" t="s">
        <v>134</v>
      </c>
      <c r="B33" s="26" t="s">
        <v>149</v>
      </c>
      <c r="C33" s="26">
        <f>SUBTOTAL(109,SRELicencesIssued[Number of licences issued 2020])</f>
        <v>1</v>
      </c>
      <c r="D33" s="26" t="s">
        <v>147</v>
      </c>
      <c r="E33" s="26" t="s">
        <v>148</v>
      </c>
      <c r="F33" s="28">
        <f>SUBTOTAL(109,SRELicencesIssued[Number of licences issued 2023])</f>
        <v>3</v>
      </c>
      <c r="G33" s="28" t="s">
        <v>135</v>
      </c>
      <c r="H33" s="26" t="s">
        <v>149</v>
      </c>
    </row>
    <row r="36" spans="1:8" x14ac:dyDescent="0.35">
      <c r="A36" s="21" t="s">
        <v>47</v>
      </c>
    </row>
    <row r="37" spans="1:8" ht="72.5" x14ac:dyDescent="0.35">
      <c r="A37" s="16" t="s">
        <v>10</v>
      </c>
      <c r="B37" s="15" t="s">
        <v>41</v>
      </c>
      <c r="C37" s="15" t="s">
        <v>42</v>
      </c>
      <c r="D37" s="15" t="s">
        <v>43</v>
      </c>
      <c r="E37" s="15" t="s">
        <v>44</v>
      </c>
      <c r="F37" s="15" t="s">
        <v>45</v>
      </c>
      <c r="G37" s="31" t="s">
        <v>152</v>
      </c>
      <c r="H37" s="31" t="s">
        <v>176</v>
      </c>
    </row>
    <row r="38" spans="1:8" x14ac:dyDescent="0.35">
      <c r="A38" s="8" t="s">
        <v>108</v>
      </c>
      <c r="B38" s="7">
        <v>0</v>
      </c>
      <c r="C38" s="25" t="s">
        <v>64</v>
      </c>
      <c r="D38" s="25" t="s">
        <v>64</v>
      </c>
      <c r="E38" s="25" t="s">
        <v>64</v>
      </c>
      <c r="F38" s="25" t="s">
        <v>64</v>
      </c>
      <c r="G38" s="43" t="s">
        <v>173</v>
      </c>
      <c r="H38" s="43" t="s">
        <v>64</v>
      </c>
    </row>
    <row r="39" spans="1:8" x14ac:dyDescent="0.35">
      <c r="A39" s="8" t="s">
        <v>111</v>
      </c>
      <c r="B39" s="25" t="s">
        <v>64</v>
      </c>
      <c r="C39" s="25" t="s">
        <v>64</v>
      </c>
      <c r="D39" s="7">
        <v>2</v>
      </c>
      <c r="E39" s="7">
        <v>2</v>
      </c>
      <c r="F39" s="25" t="s">
        <v>64</v>
      </c>
      <c r="G39" s="25">
        <v>2</v>
      </c>
      <c r="H39" s="25">
        <v>2</v>
      </c>
    </row>
    <row r="40" spans="1:8" x14ac:dyDescent="0.35">
      <c r="A40" s="8" t="s">
        <v>115</v>
      </c>
      <c r="B40" s="25" t="s">
        <v>64</v>
      </c>
      <c r="C40" s="25" t="s">
        <v>64</v>
      </c>
      <c r="D40" s="7">
        <v>2</v>
      </c>
      <c r="E40" s="7">
        <v>2</v>
      </c>
      <c r="F40" s="25" t="s">
        <v>64</v>
      </c>
      <c r="G40" s="25">
        <v>2</v>
      </c>
      <c r="H40" s="25">
        <v>2</v>
      </c>
    </row>
    <row r="41" spans="1:8" x14ac:dyDescent="0.35">
      <c r="A41" s="8" t="s">
        <v>113</v>
      </c>
      <c r="B41" s="25" t="s">
        <v>64</v>
      </c>
      <c r="C41" s="25" t="s">
        <v>64</v>
      </c>
      <c r="D41" s="7">
        <v>16</v>
      </c>
      <c r="E41" s="25" t="s">
        <v>64</v>
      </c>
      <c r="F41" s="25" t="s">
        <v>64</v>
      </c>
      <c r="G41" s="25" t="s">
        <v>64</v>
      </c>
      <c r="H41" s="25" t="s">
        <v>64</v>
      </c>
    </row>
    <row r="42" spans="1:8" x14ac:dyDescent="0.35">
      <c r="A42" s="8" t="s">
        <v>125</v>
      </c>
      <c r="B42" s="25" t="s">
        <v>64</v>
      </c>
      <c r="C42" s="25" t="s">
        <v>64</v>
      </c>
      <c r="D42" s="7">
        <v>2</v>
      </c>
      <c r="E42" s="7">
        <v>2</v>
      </c>
      <c r="F42" s="25" t="s">
        <v>64</v>
      </c>
      <c r="G42" s="25">
        <v>2</v>
      </c>
      <c r="H42" s="25">
        <v>2</v>
      </c>
    </row>
    <row r="43" spans="1:8" x14ac:dyDescent="0.35">
      <c r="A43" s="8" t="s">
        <v>127</v>
      </c>
      <c r="B43" s="25" t="s">
        <v>64</v>
      </c>
      <c r="C43" s="25" t="s">
        <v>64</v>
      </c>
      <c r="D43" s="7">
        <v>2</v>
      </c>
      <c r="E43" s="7">
        <v>2</v>
      </c>
      <c r="F43" s="25" t="s">
        <v>64</v>
      </c>
      <c r="G43" s="25">
        <v>2</v>
      </c>
      <c r="H43" s="25">
        <v>2</v>
      </c>
    </row>
    <row r="44" spans="1:8" x14ac:dyDescent="0.35">
      <c r="A44" s="8" t="s">
        <v>128</v>
      </c>
      <c r="B44" s="25" t="s">
        <v>64</v>
      </c>
      <c r="C44" s="25" t="s">
        <v>64</v>
      </c>
      <c r="D44" s="7">
        <v>2</v>
      </c>
      <c r="E44" s="7">
        <v>2</v>
      </c>
      <c r="F44" s="25" t="s">
        <v>64</v>
      </c>
      <c r="G44" s="25">
        <v>2</v>
      </c>
      <c r="H44" s="25">
        <v>2</v>
      </c>
    </row>
    <row r="45" spans="1:8" x14ac:dyDescent="0.35">
      <c r="A45" s="8" t="s">
        <v>129</v>
      </c>
      <c r="B45" s="25" t="s">
        <v>64</v>
      </c>
      <c r="C45" s="25" t="s">
        <v>64</v>
      </c>
      <c r="D45" s="7">
        <v>2</v>
      </c>
      <c r="E45" s="7">
        <v>2</v>
      </c>
      <c r="F45" s="25" t="s">
        <v>64</v>
      </c>
      <c r="G45" s="25">
        <v>2</v>
      </c>
      <c r="H45" s="25">
        <v>2</v>
      </c>
    </row>
    <row r="46" spans="1:8" x14ac:dyDescent="0.35">
      <c r="A46" s="8" t="s">
        <v>109</v>
      </c>
      <c r="B46" s="7">
        <v>0</v>
      </c>
      <c r="C46" s="25" t="s">
        <v>64</v>
      </c>
      <c r="D46" s="25" t="s">
        <v>64</v>
      </c>
      <c r="E46" s="25" t="s">
        <v>64</v>
      </c>
      <c r="F46" s="25">
        <v>20</v>
      </c>
      <c r="G46" s="25" t="s">
        <v>173</v>
      </c>
      <c r="H46" s="25" t="s">
        <v>64</v>
      </c>
    </row>
    <row r="47" spans="1:8" x14ac:dyDescent="0.35">
      <c r="A47" s="8" t="s">
        <v>132</v>
      </c>
      <c r="B47" s="25" t="s">
        <v>64</v>
      </c>
      <c r="C47" s="25" t="s">
        <v>64</v>
      </c>
      <c r="D47" s="7">
        <v>2</v>
      </c>
      <c r="E47" s="7">
        <v>2</v>
      </c>
      <c r="F47" s="25" t="s">
        <v>64</v>
      </c>
      <c r="G47" s="25">
        <v>2</v>
      </c>
      <c r="H47" s="25">
        <v>2</v>
      </c>
    </row>
    <row r="48" spans="1:8" x14ac:dyDescent="0.35">
      <c r="A48" s="8" t="s">
        <v>130</v>
      </c>
      <c r="B48" s="25" t="s">
        <v>64</v>
      </c>
      <c r="C48" s="25" t="s">
        <v>64</v>
      </c>
      <c r="D48" s="7">
        <v>2</v>
      </c>
      <c r="E48" s="7">
        <v>2</v>
      </c>
      <c r="F48" s="25" t="s">
        <v>64</v>
      </c>
      <c r="G48" s="25">
        <v>2</v>
      </c>
      <c r="H48" s="25">
        <v>2</v>
      </c>
    </row>
    <row r="49" spans="1:8" x14ac:dyDescent="0.35">
      <c r="A49" s="8" t="s">
        <v>116</v>
      </c>
      <c r="B49" s="25" t="s">
        <v>64</v>
      </c>
      <c r="C49" s="25" t="s">
        <v>64</v>
      </c>
      <c r="D49" s="7">
        <v>2</v>
      </c>
      <c r="E49" s="7">
        <v>2</v>
      </c>
      <c r="F49" s="25" t="s">
        <v>64</v>
      </c>
      <c r="G49" s="25">
        <v>2</v>
      </c>
      <c r="H49" s="25">
        <v>2</v>
      </c>
    </row>
    <row r="50" spans="1:8" x14ac:dyDescent="0.35">
      <c r="A50" s="8" t="s">
        <v>117</v>
      </c>
      <c r="B50" s="25" t="s">
        <v>64</v>
      </c>
      <c r="C50" s="25" t="s">
        <v>64</v>
      </c>
      <c r="D50" s="7">
        <v>32</v>
      </c>
      <c r="E50" s="7">
        <v>2</v>
      </c>
      <c r="F50" s="25" t="s">
        <v>64</v>
      </c>
      <c r="G50" s="25" t="s">
        <v>196</v>
      </c>
      <c r="H50" s="25" t="s">
        <v>196</v>
      </c>
    </row>
    <row r="51" spans="1:8" x14ac:dyDescent="0.35">
      <c r="A51" s="8" t="s">
        <v>133</v>
      </c>
      <c r="B51" s="25" t="s">
        <v>64</v>
      </c>
      <c r="C51" s="25" t="s">
        <v>64</v>
      </c>
      <c r="D51" s="7">
        <v>2</v>
      </c>
      <c r="E51" s="7">
        <v>2</v>
      </c>
      <c r="F51" s="25" t="s">
        <v>64</v>
      </c>
      <c r="G51" s="25">
        <v>2</v>
      </c>
      <c r="H51" s="25">
        <v>2</v>
      </c>
    </row>
    <row r="52" spans="1:8" x14ac:dyDescent="0.35">
      <c r="A52" s="8" t="s">
        <v>118</v>
      </c>
      <c r="B52" s="25" t="s">
        <v>64</v>
      </c>
      <c r="C52" s="25" t="s">
        <v>64</v>
      </c>
      <c r="D52" s="7">
        <v>2</v>
      </c>
      <c r="E52" s="7">
        <v>2</v>
      </c>
      <c r="F52" s="25" t="s">
        <v>64</v>
      </c>
      <c r="G52" s="25">
        <v>2</v>
      </c>
      <c r="H52" s="25">
        <v>2</v>
      </c>
    </row>
    <row r="53" spans="1:8" x14ac:dyDescent="0.35">
      <c r="A53" s="8" t="s">
        <v>114</v>
      </c>
      <c r="B53" s="25" t="s">
        <v>64</v>
      </c>
      <c r="C53" s="7">
        <v>300</v>
      </c>
      <c r="D53" s="7">
        <v>300</v>
      </c>
      <c r="E53" s="25" t="s">
        <v>64</v>
      </c>
      <c r="F53" s="25" t="s">
        <v>64</v>
      </c>
      <c r="G53" s="25" t="s">
        <v>64</v>
      </c>
      <c r="H53" s="25" t="s">
        <v>64</v>
      </c>
    </row>
    <row r="54" spans="1:8" x14ac:dyDescent="0.35">
      <c r="A54" s="8" t="s">
        <v>119</v>
      </c>
      <c r="B54" s="25" t="s">
        <v>64</v>
      </c>
      <c r="C54" s="25" t="s">
        <v>64</v>
      </c>
      <c r="D54" s="7">
        <v>2</v>
      </c>
      <c r="E54" s="7">
        <v>2</v>
      </c>
      <c r="F54" s="25" t="s">
        <v>64</v>
      </c>
      <c r="G54" s="25">
        <v>2</v>
      </c>
      <c r="H54" s="25">
        <v>2</v>
      </c>
    </row>
    <row r="55" spans="1:8" x14ac:dyDescent="0.35">
      <c r="A55" s="8" t="s">
        <v>120</v>
      </c>
      <c r="B55" s="25" t="s">
        <v>64</v>
      </c>
      <c r="C55" s="25" t="s">
        <v>64</v>
      </c>
      <c r="D55" s="7">
        <v>2</v>
      </c>
      <c r="E55" s="25" t="s">
        <v>64</v>
      </c>
      <c r="F55" s="25" t="s">
        <v>64</v>
      </c>
      <c r="G55" s="25" t="s">
        <v>64</v>
      </c>
      <c r="H55" s="25" t="s">
        <v>64</v>
      </c>
    </row>
    <row r="56" spans="1:8" x14ac:dyDescent="0.35">
      <c r="A56" s="8" t="s">
        <v>121</v>
      </c>
      <c r="B56" s="25" t="s">
        <v>64</v>
      </c>
      <c r="C56" s="25" t="s">
        <v>64</v>
      </c>
      <c r="D56" s="7">
        <v>2</v>
      </c>
      <c r="E56" s="7">
        <v>2</v>
      </c>
      <c r="F56" s="25" t="s">
        <v>64</v>
      </c>
      <c r="G56" s="25">
        <v>2</v>
      </c>
      <c r="H56" s="25">
        <v>2</v>
      </c>
    </row>
    <row r="57" spans="1:8" x14ac:dyDescent="0.35">
      <c r="A57" s="8" t="s">
        <v>110</v>
      </c>
      <c r="B57" s="7">
        <v>10</v>
      </c>
      <c r="C57" s="25" t="s">
        <v>64</v>
      </c>
      <c r="D57" s="7">
        <v>2</v>
      </c>
      <c r="E57" s="7">
        <v>2</v>
      </c>
      <c r="F57" s="25" t="s">
        <v>64</v>
      </c>
      <c r="G57" s="25" t="s">
        <v>196</v>
      </c>
      <c r="H57" s="25">
        <v>2</v>
      </c>
    </row>
    <row r="58" spans="1:8" x14ac:dyDescent="0.35">
      <c r="A58" s="8" t="s">
        <v>172</v>
      </c>
      <c r="B58" s="25" t="s">
        <v>64</v>
      </c>
      <c r="C58" s="25" t="s">
        <v>64</v>
      </c>
      <c r="D58" s="25" t="s">
        <v>64</v>
      </c>
      <c r="E58" s="25" t="s">
        <v>64</v>
      </c>
      <c r="F58" s="25" t="s">
        <v>173</v>
      </c>
      <c r="G58" s="25" t="s">
        <v>64</v>
      </c>
      <c r="H58" s="25" t="s">
        <v>64</v>
      </c>
    </row>
    <row r="59" spans="1:8" x14ac:dyDescent="0.35">
      <c r="A59" s="8" t="s">
        <v>122</v>
      </c>
      <c r="B59" s="25" t="s">
        <v>64</v>
      </c>
      <c r="C59" s="25" t="s">
        <v>64</v>
      </c>
      <c r="D59" s="7">
        <v>2</v>
      </c>
      <c r="E59" s="7">
        <v>2</v>
      </c>
      <c r="F59" s="25" t="s">
        <v>64</v>
      </c>
      <c r="G59" s="25">
        <v>2</v>
      </c>
      <c r="H59" s="25">
        <v>2</v>
      </c>
    </row>
    <row r="60" spans="1:8" x14ac:dyDescent="0.35">
      <c r="A60" s="8" t="s">
        <v>126</v>
      </c>
      <c r="B60" s="25" t="s">
        <v>64</v>
      </c>
      <c r="C60" s="25" t="s">
        <v>64</v>
      </c>
      <c r="D60" s="7">
        <v>2</v>
      </c>
      <c r="E60" s="7">
        <v>2</v>
      </c>
      <c r="F60" s="25" t="s">
        <v>64</v>
      </c>
      <c r="G60" s="25">
        <v>2</v>
      </c>
      <c r="H60" s="25">
        <v>2</v>
      </c>
    </row>
    <row r="61" spans="1:8" x14ac:dyDescent="0.35">
      <c r="A61" s="8" t="s">
        <v>131</v>
      </c>
      <c r="B61" s="25" t="s">
        <v>64</v>
      </c>
      <c r="C61" s="25" t="s">
        <v>64</v>
      </c>
      <c r="D61" s="7">
        <v>2</v>
      </c>
      <c r="E61" s="7">
        <v>2</v>
      </c>
      <c r="F61" s="25" t="s">
        <v>64</v>
      </c>
      <c r="G61" s="25">
        <v>2</v>
      </c>
      <c r="H61" s="25">
        <v>2</v>
      </c>
    </row>
    <row r="62" spans="1:8" x14ac:dyDescent="0.35">
      <c r="A62" s="8" t="s">
        <v>112</v>
      </c>
      <c r="B62" s="25" t="s">
        <v>64</v>
      </c>
      <c r="C62" s="25" t="s">
        <v>64</v>
      </c>
      <c r="D62" s="7">
        <v>2</v>
      </c>
      <c r="E62" s="7">
        <v>2</v>
      </c>
      <c r="F62" s="25" t="s">
        <v>64</v>
      </c>
      <c r="G62" s="25">
        <v>2</v>
      </c>
      <c r="H62" s="25">
        <v>2</v>
      </c>
    </row>
    <row r="63" spans="1:8" x14ac:dyDescent="0.35">
      <c r="A63" s="8" t="s">
        <v>198</v>
      </c>
      <c r="B63" s="25" t="s">
        <v>64</v>
      </c>
      <c r="C63" s="25" t="s">
        <v>64</v>
      </c>
      <c r="D63" s="25" t="s">
        <v>64</v>
      </c>
      <c r="E63" s="25" t="s">
        <v>64</v>
      </c>
      <c r="F63" s="25" t="s">
        <v>64</v>
      </c>
      <c r="G63" s="22" t="s">
        <v>13</v>
      </c>
      <c r="H63" s="25" t="s">
        <v>64</v>
      </c>
    </row>
    <row r="64" spans="1:8" x14ac:dyDescent="0.35">
      <c r="A64" s="8" t="s">
        <v>123</v>
      </c>
      <c r="B64" s="25" t="s">
        <v>64</v>
      </c>
      <c r="C64" s="25" t="s">
        <v>64</v>
      </c>
      <c r="D64" s="7">
        <v>2</v>
      </c>
      <c r="E64" s="7">
        <v>2</v>
      </c>
      <c r="F64" s="25" t="s">
        <v>64</v>
      </c>
      <c r="G64" s="25">
        <v>2</v>
      </c>
      <c r="H64" s="25">
        <v>2</v>
      </c>
    </row>
    <row r="65" spans="1:8" x14ac:dyDescent="0.35">
      <c r="A65" s="12" t="s">
        <v>124</v>
      </c>
      <c r="B65" s="25" t="s">
        <v>64</v>
      </c>
      <c r="C65" s="25" t="s">
        <v>64</v>
      </c>
      <c r="D65" s="13">
        <v>2</v>
      </c>
      <c r="E65" s="13">
        <v>2</v>
      </c>
      <c r="F65" s="25" t="s">
        <v>64</v>
      </c>
      <c r="G65" s="26">
        <v>2</v>
      </c>
      <c r="H65" s="26">
        <v>2</v>
      </c>
    </row>
    <row r="66" spans="1:8" x14ac:dyDescent="0.35">
      <c r="A66" s="12" t="s">
        <v>40</v>
      </c>
      <c r="B66" s="13">
        <f>SUBTOTAL(109,SREPermittedNumbers[Number of individuals permitted to be killed 2019])</f>
        <v>10</v>
      </c>
      <c r="C66" s="13">
        <f>SUBTOTAL(109,SREPermittedNumbers[Number of individuals permitted to be killed 2020])</f>
        <v>300</v>
      </c>
      <c r="D66" s="13">
        <f>SUBTOTAL(109,SREPermittedNumbers[Number of individuals permitted to be killed 2021])</f>
        <v>390</v>
      </c>
      <c r="E66" s="13">
        <f>SUBTOTAL(109,SREPermittedNumbers[Number of individuals permitted to be killed 2022])</f>
        <v>42</v>
      </c>
      <c r="F66" s="13">
        <f>SUBTOTAL(109,SREPermittedNumbers[Number of individuals permitted to be killed 2023])</f>
        <v>20</v>
      </c>
      <c r="G66" s="26" t="s">
        <v>197</v>
      </c>
      <c r="H66" s="26" t="s">
        <v>197</v>
      </c>
    </row>
    <row r="69" spans="1:8" x14ac:dyDescent="0.35">
      <c r="A69" s="21" t="s">
        <v>53</v>
      </c>
    </row>
    <row r="70" spans="1:8" ht="101.5" x14ac:dyDescent="0.35">
      <c r="A70" s="16" t="s">
        <v>10</v>
      </c>
      <c r="B70" s="40" t="s">
        <v>48</v>
      </c>
      <c r="C70" s="40" t="s">
        <v>49</v>
      </c>
      <c r="D70" s="40" t="s">
        <v>50</v>
      </c>
      <c r="E70" s="40" t="s">
        <v>51</v>
      </c>
      <c r="F70" s="40" t="s">
        <v>52</v>
      </c>
      <c r="G70" s="39" t="s">
        <v>153</v>
      </c>
      <c r="H70" s="39" t="s">
        <v>177</v>
      </c>
    </row>
    <row r="71" spans="1:8" x14ac:dyDescent="0.35">
      <c r="A71" s="8" t="s">
        <v>108</v>
      </c>
      <c r="B71" s="7"/>
      <c r="C71" s="25" t="s">
        <v>64</v>
      </c>
      <c r="D71" s="25" t="s">
        <v>64</v>
      </c>
      <c r="E71" s="25" t="s">
        <v>64</v>
      </c>
      <c r="F71" s="25" t="s">
        <v>64</v>
      </c>
      <c r="G71" s="25" t="s">
        <v>64</v>
      </c>
      <c r="H71" s="66"/>
    </row>
    <row r="72" spans="1:8" x14ac:dyDescent="0.35">
      <c r="A72" s="8" t="s">
        <v>111</v>
      </c>
      <c r="B72" s="25" t="s">
        <v>64</v>
      </c>
      <c r="C72" s="25" t="s">
        <v>64</v>
      </c>
      <c r="D72" s="7">
        <v>0</v>
      </c>
      <c r="E72" s="7"/>
      <c r="F72" s="25" t="s">
        <v>64</v>
      </c>
      <c r="G72" s="25" t="s">
        <v>64</v>
      </c>
      <c r="H72" s="63"/>
    </row>
    <row r="73" spans="1:8" x14ac:dyDescent="0.35">
      <c r="A73" s="8" t="s">
        <v>115</v>
      </c>
      <c r="B73" s="25" t="s">
        <v>64</v>
      </c>
      <c r="C73" s="25" t="s">
        <v>64</v>
      </c>
      <c r="D73" s="7">
        <v>0</v>
      </c>
      <c r="E73" s="7"/>
      <c r="F73" s="25" t="s">
        <v>64</v>
      </c>
      <c r="G73" s="25" t="s">
        <v>64</v>
      </c>
      <c r="H73" s="63"/>
    </row>
    <row r="74" spans="1:8" x14ac:dyDescent="0.35">
      <c r="A74" s="8" t="s">
        <v>113</v>
      </c>
      <c r="B74" s="25" t="s">
        <v>64</v>
      </c>
      <c r="C74" s="25" t="s">
        <v>64</v>
      </c>
      <c r="D74" s="7"/>
      <c r="E74" s="25" t="s">
        <v>64</v>
      </c>
      <c r="F74" s="25" t="s">
        <v>64</v>
      </c>
      <c r="G74" s="25" t="s">
        <v>64</v>
      </c>
      <c r="H74" s="63"/>
    </row>
    <row r="75" spans="1:8" x14ac:dyDescent="0.35">
      <c r="A75" s="8" t="s">
        <v>125</v>
      </c>
      <c r="B75" s="25" t="s">
        <v>64</v>
      </c>
      <c r="C75" s="25" t="s">
        <v>64</v>
      </c>
      <c r="D75" s="7">
        <v>0</v>
      </c>
      <c r="E75" s="7"/>
      <c r="F75" s="25" t="s">
        <v>64</v>
      </c>
      <c r="G75" s="25" t="s">
        <v>64</v>
      </c>
      <c r="H75" s="63"/>
    </row>
    <row r="76" spans="1:8" x14ac:dyDescent="0.35">
      <c r="A76" s="8" t="s">
        <v>127</v>
      </c>
      <c r="B76" s="25" t="s">
        <v>64</v>
      </c>
      <c r="C76" s="25" t="s">
        <v>64</v>
      </c>
      <c r="D76" s="7">
        <v>0</v>
      </c>
      <c r="E76" s="7"/>
      <c r="F76" s="25" t="s">
        <v>64</v>
      </c>
      <c r="G76" s="25" t="s">
        <v>64</v>
      </c>
      <c r="H76" s="63"/>
    </row>
    <row r="77" spans="1:8" x14ac:dyDescent="0.35">
      <c r="A77" s="8" t="s">
        <v>128</v>
      </c>
      <c r="B77" s="25" t="s">
        <v>64</v>
      </c>
      <c r="C77" s="25" t="s">
        <v>64</v>
      </c>
      <c r="D77" s="7">
        <v>0</v>
      </c>
      <c r="E77" s="7"/>
      <c r="F77" s="25" t="s">
        <v>64</v>
      </c>
      <c r="G77" s="25" t="s">
        <v>64</v>
      </c>
      <c r="H77" s="63"/>
    </row>
    <row r="78" spans="1:8" x14ac:dyDescent="0.35">
      <c r="A78" s="8" t="s">
        <v>129</v>
      </c>
      <c r="B78" s="25" t="s">
        <v>64</v>
      </c>
      <c r="C78" s="25" t="s">
        <v>64</v>
      </c>
      <c r="D78" s="7">
        <v>0</v>
      </c>
      <c r="E78" s="7"/>
      <c r="F78" s="25" t="s">
        <v>64</v>
      </c>
      <c r="G78" s="25" t="s">
        <v>64</v>
      </c>
      <c r="H78" s="63"/>
    </row>
    <row r="79" spans="1:8" x14ac:dyDescent="0.35">
      <c r="A79" s="8" t="s">
        <v>109</v>
      </c>
      <c r="B79" s="7"/>
      <c r="C79" s="25" t="s">
        <v>64</v>
      </c>
      <c r="D79" s="25" t="s">
        <v>64</v>
      </c>
      <c r="E79" s="25" t="s">
        <v>64</v>
      </c>
      <c r="F79" s="25">
        <v>20</v>
      </c>
      <c r="G79" s="25" t="s">
        <v>64</v>
      </c>
      <c r="H79" s="63"/>
    </row>
    <row r="80" spans="1:8" x14ac:dyDescent="0.35">
      <c r="A80" s="8" t="s">
        <v>132</v>
      </c>
      <c r="B80" s="25" t="s">
        <v>64</v>
      </c>
      <c r="C80" s="25" t="s">
        <v>64</v>
      </c>
      <c r="D80" s="7">
        <v>0</v>
      </c>
      <c r="E80" s="7"/>
      <c r="F80" s="25" t="s">
        <v>64</v>
      </c>
      <c r="G80" s="25" t="s">
        <v>64</v>
      </c>
      <c r="H80" s="63"/>
    </row>
    <row r="81" spans="1:8" x14ac:dyDescent="0.35">
      <c r="A81" s="8" t="s">
        <v>130</v>
      </c>
      <c r="B81" s="25" t="s">
        <v>64</v>
      </c>
      <c r="C81" s="25" t="s">
        <v>64</v>
      </c>
      <c r="D81" s="7">
        <v>0</v>
      </c>
      <c r="E81" s="7"/>
      <c r="F81" s="25" t="s">
        <v>64</v>
      </c>
      <c r="G81" s="25" t="s">
        <v>64</v>
      </c>
      <c r="H81" s="63"/>
    </row>
    <row r="82" spans="1:8" x14ac:dyDescent="0.35">
      <c r="A82" s="8" t="s">
        <v>116</v>
      </c>
      <c r="B82" s="25" t="s">
        <v>64</v>
      </c>
      <c r="C82" s="25" t="s">
        <v>64</v>
      </c>
      <c r="D82" s="7">
        <v>0</v>
      </c>
      <c r="E82" s="7"/>
      <c r="F82" s="25" t="s">
        <v>64</v>
      </c>
      <c r="G82" s="25" t="s">
        <v>64</v>
      </c>
      <c r="H82" s="63"/>
    </row>
    <row r="83" spans="1:8" x14ac:dyDescent="0.35">
      <c r="A83" s="8" t="s">
        <v>117</v>
      </c>
      <c r="B83" s="25" t="s">
        <v>64</v>
      </c>
      <c r="C83" s="25" t="s">
        <v>64</v>
      </c>
      <c r="D83" s="7">
        <v>0</v>
      </c>
      <c r="E83" s="7"/>
      <c r="F83" s="25" t="s">
        <v>64</v>
      </c>
      <c r="G83" s="25" t="s">
        <v>64</v>
      </c>
      <c r="H83" s="63"/>
    </row>
    <row r="84" spans="1:8" x14ac:dyDescent="0.35">
      <c r="A84" s="8" t="s">
        <v>133</v>
      </c>
      <c r="B84" s="25" t="s">
        <v>64</v>
      </c>
      <c r="C84" s="25" t="s">
        <v>64</v>
      </c>
      <c r="D84" s="7">
        <v>0</v>
      </c>
      <c r="E84" s="7"/>
      <c r="F84" s="25" t="s">
        <v>64</v>
      </c>
      <c r="G84" s="25" t="s">
        <v>64</v>
      </c>
      <c r="H84" s="63"/>
    </row>
    <row r="85" spans="1:8" x14ac:dyDescent="0.35">
      <c r="A85" s="8" t="s">
        <v>118</v>
      </c>
      <c r="B85" s="25" t="s">
        <v>64</v>
      </c>
      <c r="C85" s="25" t="s">
        <v>64</v>
      </c>
      <c r="D85" s="7">
        <v>0</v>
      </c>
      <c r="E85" s="7"/>
      <c r="F85" s="25" t="s">
        <v>64</v>
      </c>
      <c r="G85" s="25" t="s">
        <v>64</v>
      </c>
      <c r="H85" s="63"/>
    </row>
    <row r="86" spans="1:8" x14ac:dyDescent="0.35">
      <c r="A86" s="8" t="s">
        <v>114</v>
      </c>
      <c r="B86" s="25" t="s">
        <v>64</v>
      </c>
      <c r="C86" s="7">
        <v>0</v>
      </c>
      <c r="D86" s="7"/>
      <c r="E86" s="25" t="s">
        <v>64</v>
      </c>
      <c r="F86" s="25" t="s">
        <v>64</v>
      </c>
      <c r="G86" s="25" t="s">
        <v>64</v>
      </c>
      <c r="H86" s="63"/>
    </row>
    <row r="87" spans="1:8" x14ac:dyDescent="0.35">
      <c r="A87" s="8" t="s">
        <v>119</v>
      </c>
      <c r="B87" s="25" t="s">
        <v>64</v>
      </c>
      <c r="C87" s="25" t="s">
        <v>64</v>
      </c>
      <c r="D87" s="7">
        <v>0</v>
      </c>
      <c r="E87" s="7"/>
      <c r="F87" s="25" t="s">
        <v>64</v>
      </c>
      <c r="G87" s="25" t="s">
        <v>64</v>
      </c>
      <c r="H87" s="63"/>
    </row>
    <row r="88" spans="1:8" x14ac:dyDescent="0.35">
      <c r="A88" s="8" t="s">
        <v>120</v>
      </c>
      <c r="B88" s="25" t="s">
        <v>64</v>
      </c>
      <c r="C88" s="25" t="s">
        <v>64</v>
      </c>
      <c r="D88" s="7"/>
      <c r="E88" s="25" t="s">
        <v>64</v>
      </c>
      <c r="F88" s="25" t="s">
        <v>64</v>
      </c>
      <c r="G88" s="25" t="s">
        <v>64</v>
      </c>
      <c r="H88" s="63"/>
    </row>
    <row r="89" spans="1:8" x14ac:dyDescent="0.35">
      <c r="A89" s="8" t="s">
        <v>121</v>
      </c>
      <c r="B89" s="25" t="s">
        <v>64</v>
      </c>
      <c r="C89" s="25" t="s">
        <v>64</v>
      </c>
      <c r="D89" s="7">
        <v>0</v>
      </c>
      <c r="E89" s="7"/>
      <c r="F89" s="25" t="s">
        <v>64</v>
      </c>
      <c r="G89" s="25" t="s">
        <v>64</v>
      </c>
      <c r="H89" s="63"/>
    </row>
    <row r="90" spans="1:8" x14ac:dyDescent="0.35">
      <c r="A90" s="8" t="s">
        <v>110</v>
      </c>
      <c r="B90" s="7"/>
      <c r="C90" s="25" t="s">
        <v>64</v>
      </c>
      <c r="D90" s="7">
        <v>0</v>
      </c>
      <c r="E90" s="7"/>
      <c r="F90" s="25" t="s">
        <v>64</v>
      </c>
      <c r="G90" s="25" t="s">
        <v>64</v>
      </c>
      <c r="H90" s="63"/>
    </row>
    <row r="91" spans="1:8" x14ac:dyDescent="0.35">
      <c r="A91" s="8" t="s">
        <v>122</v>
      </c>
      <c r="B91" s="25" t="s">
        <v>64</v>
      </c>
      <c r="C91" s="25" t="s">
        <v>64</v>
      </c>
      <c r="D91" s="7">
        <v>0</v>
      </c>
      <c r="E91" s="7"/>
      <c r="F91" s="25"/>
      <c r="G91" s="25" t="s">
        <v>64</v>
      </c>
      <c r="H91" s="63"/>
    </row>
    <row r="92" spans="1:8" x14ac:dyDescent="0.35">
      <c r="A92" s="8" t="s">
        <v>126</v>
      </c>
      <c r="B92" s="25" t="s">
        <v>64</v>
      </c>
      <c r="C92" s="25" t="s">
        <v>64</v>
      </c>
      <c r="D92" s="7">
        <v>0</v>
      </c>
      <c r="E92" s="7"/>
      <c r="F92" s="25" t="s">
        <v>64</v>
      </c>
      <c r="G92" s="25" t="s">
        <v>64</v>
      </c>
      <c r="H92" s="63"/>
    </row>
    <row r="93" spans="1:8" x14ac:dyDescent="0.35">
      <c r="A93" s="8" t="s">
        <v>131</v>
      </c>
      <c r="B93" s="25" t="s">
        <v>64</v>
      </c>
      <c r="C93" s="25" t="s">
        <v>64</v>
      </c>
      <c r="D93" s="7">
        <v>0</v>
      </c>
      <c r="E93" s="7"/>
      <c r="F93" s="25" t="s">
        <v>64</v>
      </c>
      <c r="G93" s="25" t="s">
        <v>64</v>
      </c>
      <c r="H93" s="63"/>
    </row>
    <row r="94" spans="1:8" x14ac:dyDescent="0.35">
      <c r="A94" s="8" t="s">
        <v>112</v>
      </c>
      <c r="B94" s="25" t="s">
        <v>64</v>
      </c>
      <c r="C94" s="25" t="s">
        <v>64</v>
      </c>
      <c r="D94" s="7">
        <v>0</v>
      </c>
      <c r="E94" s="7"/>
      <c r="F94" s="25" t="s">
        <v>64</v>
      </c>
      <c r="G94" s="25" t="s">
        <v>64</v>
      </c>
      <c r="H94" s="63"/>
    </row>
    <row r="95" spans="1:8" x14ac:dyDescent="0.35">
      <c r="A95" s="8" t="s">
        <v>199</v>
      </c>
      <c r="B95" s="25" t="s">
        <v>64</v>
      </c>
      <c r="C95" s="25" t="s">
        <v>64</v>
      </c>
      <c r="D95" s="25" t="s">
        <v>64</v>
      </c>
      <c r="E95" s="25" t="s">
        <v>64</v>
      </c>
      <c r="F95" s="25" t="s">
        <v>64</v>
      </c>
      <c r="G95" s="25" t="s">
        <v>64</v>
      </c>
      <c r="H95" s="63"/>
    </row>
    <row r="96" spans="1:8" x14ac:dyDescent="0.35">
      <c r="A96" s="8" t="s">
        <v>123</v>
      </c>
      <c r="B96" s="25" t="s">
        <v>64</v>
      </c>
      <c r="C96" s="25" t="s">
        <v>64</v>
      </c>
      <c r="D96" s="7">
        <v>0</v>
      </c>
      <c r="E96" s="7"/>
      <c r="F96" s="25" t="s">
        <v>64</v>
      </c>
      <c r="G96" s="25" t="s">
        <v>64</v>
      </c>
      <c r="H96" s="63"/>
    </row>
    <row r="97" spans="1:8" x14ac:dyDescent="0.35">
      <c r="A97" s="8" t="s">
        <v>124</v>
      </c>
      <c r="B97" s="25" t="s">
        <v>64</v>
      </c>
      <c r="C97" s="25" t="s">
        <v>64</v>
      </c>
      <c r="D97" s="7">
        <v>0</v>
      </c>
      <c r="E97" s="7"/>
      <c r="F97" s="25" t="s">
        <v>64</v>
      </c>
      <c r="G97" s="25" t="s">
        <v>64</v>
      </c>
      <c r="H97" s="63"/>
    </row>
    <row r="98" spans="1:8" x14ac:dyDescent="0.35">
      <c r="A98" s="8"/>
      <c r="B98" s="7"/>
      <c r="C98" s="7"/>
      <c r="D98" s="7"/>
      <c r="E98" s="7"/>
      <c r="F98" s="25" t="s">
        <v>64</v>
      </c>
      <c r="G98" s="25" t="s">
        <v>64</v>
      </c>
      <c r="H98" s="67"/>
    </row>
    <row r="99" spans="1:8" ht="44" customHeight="1" x14ac:dyDescent="0.35">
      <c r="A99" s="12" t="s">
        <v>40</v>
      </c>
      <c r="B99" s="13">
        <f>SUBTOTAL(109,SRENumbersTaken[Number of individuals taken reported on licence return 2019])</f>
        <v>0</v>
      </c>
      <c r="C99" s="13">
        <f>SUBTOTAL(109,SRENumbersTaken[Number of individuals taken reported on licence return 2020])</f>
        <v>0</v>
      </c>
      <c r="D99" s="13">
        <f>SUBTOTAL(109,SRENumbersTaken[Number of individuals taken reported on licence return 2021])</f>
        <v>0</v>
      </c>
      <c r="E99" s="13">
        <f>SUBTOTAL(109,SRENumbersTaken[Number of individuals taken reported on licence return 2022])</f>
        <v>0</v>
      </c>
      <c r="F99" s="14">
        <f>SUBTOTAL(109,SRENumbersTaken[Number of individuals taken reported on licence return 2023])</f>
        <v>20</v>
      </c>
      <c r="G99" s="13">
        <f>SUBTOTAL(109,SRENumbersTaken[Number of individuals taken reported on licence return 2024])</f>
        <v>0</v>
      </c>
      <c r="H99" s="68"/>
    </row>
    <row r="100" spans="1:8" x14ac:dyDescent="0.35">
      <c r="A100" s="2"/>
      <c r="B100" s="2"/>
      <c r="C100" s="2"/>
      <c r="D100" s="2"/>
      <c r="E100" s="2"/>
      <c r="F100" s="2"/>
    </row>
  </sheetData>
  <phoneticPr fontId="10" type="noConversion"/>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
  <sheetViews>
    <sheetView zoomScaleNormal="100" workbookViewId="0">
      <selection activeCell="G5" sqref="G5:G32"/>
    </sheetView>
  </sheetViews>
  <sheetFormatPr defaultRowHeight="14.5" x14ac:dyDescent="0.35"/>
  <cols>
    <col min="1" max="1" width="21.81640625" customWidth="1"/>
    <col min="2" max="6" width="10.26953125" customWidth="1"/>
    <col min="7" max="8" width="10.453125" customWidth="1"/>
  </cols>
  <sheetData>
    <row r="1" spans="1:8" x14ac:dyDescent="0.35">
      <c r="A1" s="6" t="s">
        <v>9</v>
      </c>
    </row>
    <row r="2" spans="1:8" x14ac:dyDescent="0.35">
      <c r="A2" s="6"/>
    </row>
    <row r="3" spans="1:8" x14ac:dyDescent="0.35">
      <c r="A3" s="21" t="s">
        <v>46</v>
      </c>
    </row>
    <row r="4" spans="1:8" ht="58" x14ac:dyDescent="0.35">
      <c r="A4" s="16" t="s">
        <v>10</v>
      </c>
      <c r="B4" s="40" t="s">
        <v>35</v>
      </c>
      <c r="C4" s="40" t="s">
        <v>36</v>
      </c>
      <c r="D4" s="40" t="s">
        <v>37</v>
      </c>
      <c r="E4" s="40" t="s">
        <v>38</v>
      </c>
      <c r="F4" s="40" t="s">
        <v>39</v>
      </c>
      <c r="G4" s="39" t="s">
        <v>151</v>
      </c>
      <c r="H4" s="39" t="s">
        <v>175</v>
      </c>
    </row>
    <row r="5" spans="1:8" x14ac:dyDescent="0.35">
      <c r="A5" s="49" t="s">
        <v>169</v>
      </c>
      <c r="B5" s="7">
        <v>0</v>
      </c>
      <c r="C5" s="48">
        <v>0</v>
      </c>
      <c r="D5" s="48">
        <v>0</v>
      </c>
      <c r="E5" s="48">
        <v>0</v>
      </c>
      <c r="F5" s="48">
        <v>0</v>
      </c>
      <c r="G5" s="48">
        <v>22</v>
      </c>
      <c r="H5" s="48">
        <v>0</v>
      </c>
    </row>
    <row r="6" spans="1:8" x14ac:dyDescent="0.35">
      <c r="A6" s="8" t="s">
        <v>22</v>
      </c>
      <c r="B6" s="7" t="s">
        <v>12</v>
      </c>
      <c r="C6" s="7">
        <v>18</v>
      </c>
      <c r="D6" s="7">
        <v>16</v>
      </c>
      <c r="E6" s="7">
        <v>15</v>
      </c>
      <c r="F6" s="47">
        <v>4</v>
      </c>
      <c r="G6" s="44">
        <v>2</v>
      </c>
      <c r="H6" s="44">
        <v>0</v>
      </c>
    </row>
    <row r="7" spans="1:8" x14ac:dyDescent="0.35">
      <c r="A7" s="8" t="s">
        <v>98</v>
      </c>
      <c r="B7" s="7">
        <v>0</v>
      </c>
      <c r="C7" s="7">
        <v>0</v>
      </c>
      <c r="D7" s="7">
        <v>0</v>
      </c>
      <c r="E7" s="7">
        <v>0</v>
      </c>
      <c r="F7" s="47">
        <v>2</v>
      </c>
      <c r="G7" s="7">
        <v>2</v>
      </c>
      <c r="H7" s="7">
        <v>0</v>
      </c>
    </row>
    <row r="8" spans="1:8" x14ac:dyDescent="0.35">
      <c r="A8" s="8" t="s">
        <v>11</v>
      </c>
      <c r="B8" s="7" t="s">
        <v>12</v>
      </c>
      <c r="C8" s="7">
        <v>16</v>
      </c>
      <c r="D8" s="7">
        <v>15</v>
      </c>
      <c r="E8" s="7">
        <v>14</v>
      </c>
      <c r="F8" s="47">
        <v>3</v>
      </c>
      <c r="G8" s="7">
        <v>2</v>
      </c>
      <c r="H8" s="48">
        <v>0</v>
      </c>
    </row>
    <row r="9" spans="1:8" x14ac:dyDescent="0.35">
      <c r="A9" s="8" t="s">
        <v>28</v>
      </c>
      <c r="B9" s="7" t="s">
        <v>12</v>
      </c>
      <c r="C9" s="7">
        <v>17</v>
      </c>
      <c r="D9" s="7">
        <v>16</v>
      </c>
      <c r="E9" s="7">
        <v>14</v>
      </c>
      <c r="F9" s="47">
        <v>4</v>
      </c>
      <c r="G9" s="7">
        <v>2</v>
      </c>
      <c r="H9" s="44">
        <v>0</v>
      </c>
    </row>
    <row r="10" spans="1:8" x14ac:dyDescent="0.35">
      <c r="A10" s="8" t="s">
        <v>23</v>
      </c>
      <c r="B10" s="7" t="s">
        <v>12</v>
      </c>
      <c r="C10" s="7">
        <v>20</v>
      </c>
      <c r="D10" s="7">
        <v>18</v>
      </c>
      <c r="E10" s="7">
        <v>18</v>
      </c>
      <c r="F10" s="47">
        <v>4</v>
      </c>
      <c r="G10" s="7">
        <v>2</v>
      </c>
      <c r="H10" s="7">
        <v>0</v>
      </c>
    </row>
    <row r="11" spans="1:8" x14ac:dyDescent="0.35">
      <c r="A11" s="8" t="s">
        <v>19</v>
      </c>
      <c r="B11" s="7" t="s">
        <v>12</v>
      </c>
      <c r="C11" s="7">
        <v>19</v>
      </c>
      <c r="D11" s="7">
        <v>17</v>
      </c>
      <c r="E11" s="7">
        <v>17</v>
      </c>
      <c r="F11" s="47">
        <v>4</v>
      </c>
      <c r="G11" s="7">
        <v>2</v>
      </c>
      <c r="H11" s="48">
        <v>0</v>
      </c>
    </row>
    <row r="12" spans="1:8" x14ac:dyDescent="0.35">
      <c r="A12" s="8" t="s">
        <v>16</v>
      </c>
      <c r="B12" s="7" t="s">
        <v>12</v>
      </c>
      <c r="C12" s="7">
        <v>18</v>
      </c>
      <c r="D12" s="7">
        <v>16</v>
      </c>
      <c r="E12" s="7">
        <v>15</v>
      </c>
      <c r="F12" s="47">
        <v>4</v>
      </c>
      <c r="G12" s="7">
        <v>2</v>
      </c>
      <c r="H12" s="44">
        <v>0</v>
      </c>
    </row>
    <row r="13" spans="1:8" x14ac:dyDescent="0.35">
      <c r="A13" s="8" t="s">
        <v>24</v>
      </c>
      <c r="B13" s="7" t="s">
        <v>12</v>
      </c>
      <c r="C13" s="7">
        <v>18</v>
      </c>
      <c r="D13" s="7">
        <v>16</v>
      </c>
      <c r="E13" s="7">
        <v>16</v>
      </c>
      <c r="F13" s="47">
        <v>4</v>
      </c>
      <c r="G13" s="7">
        <v>2</v>
      </c>
      <c r="H13" s="7">
        <v>0</v>
      </c>
    </row>
    <row r="14" spans="1:8" x14ac:dyDescent="0.35">
      <c r="A14" s="8" t="s">
        <v>89</v>
      </c>
      <c r="B14" s="7">
        <v>0</v>
      </c>
      <c r="C14" s="7">
        <v>0</v>
      </c>
      <c r="D14" s="7">
        <v>0</v>
      </c>
      <c r="E14" s="7">
        <v>0</v>
      </c>
      <c r="F14" s="47">
        <v>2</v>
      </c>
      <c r="G14" s="7">
        <v>0</v>
      </c>
      <c r="H14" s="48">
        <v>0</v>
      </c>
    </row>
    <row r="15" spans="1:8" x14ac:dyDescent="0.35">
      <c r="A15" s="8" t="s">
        <v>167</v>
      </c>
      <c r="B15" s="7">
        <v>0</v>
      </c>
      <c r="C15" s="7">
        <v>0</v>
      </c>
      <c r="D15" s="7">
        <v>0</v>
      </c>
      <c r="E15" s="7">
        <v>0</v>
      </c>
      <c r="F15" s="47">
        <v>2</v>
      </c>
      <c r="G15" s="7">
        <v>0</v>
      </c>
      <c r="H15" s="44">
        <v>0</v>
      </c>
    </row>
    <row r="16" spans="1:8" x14ac:dyDescent="0.35">
      <c r="A16" s="8" t="s">
        <v>14</v>
      </c>
      <c r="B16" s="7" t="s">
        <v>12</v>
      </c>
      <c r="C16" s="7">
        <v>19</v>
      </c>
      <c r="D16" s="7">
        <v>17</v>
      </c>
      <c r="E16" s="7">
        <v>17</v>
      </c>
      <c r="F16" s="47">
        <v>4</v>
      </c>
      <c r="G16" s="7">
        <v>2</v>
      </c>
      <c r="H16" s="7">
        <v>0</v>
      </c>
    </row>
    <row r="17" spans="1:8" x14ac:dyDescent="0.35">
      <c r="A17" s="8" t="s">
        <v>25</v>
      </c>
      <c r="B17" s="7" t="s">
        <v>26</v>
      </c>
      <c r="C17" s="7">
        <v>21</v>
      </c>
      <c r="D17" s="7">
        <v>19</v>
      </c>
      <c r="E17" s="7">
        <v>19</v>
      </c>
      <c r="F17" s="47">
        <v>6</v>
      </c>
      <c r="G17" s="7">
        <v>2</v>
      </c>
      <c r="H17" s="48">
        <v>0</v>
      </c>
    </row>
    <row r="18" spans="1:8" x14ac:dyDescent="0.35">
      <c r="A18" s="8" t="s">
        <v>29</v>
      </c>
      <c r="B18" s="7" t="s">
        <v>12</v>
      </c>
      <c r="C18" s="7">
        <v>19</v>
      </c>
      <c r="D18" s="7">
        <v>17</v>
      </c>
      <c r="E18" s="7">
        <v>16</v>
      </c>
      <c r="F18" s="47">
        <v>4</v>
      </c>
      <c r="G18" s="7">
        <v>2</v>
      </c>
      <c r="H18" s="44">
        <v>0</v>
      </c>
    </row>
    <row r="19" spans="1:8" x14ac:dyDescent="0.35">
      <c r="A19" s="8" t="s">
        <v>30</v>
      </c>
      <c r="B19" s="7" t="s">
        <v>12</v>
      </c>
      <c r="C19" s="7">
        <v>17</v>
      </c>
      <c r="D19" s="7">
        <v>16</v>
      </c>
      <c r="E19" s="7">
        <v>14</v>
      </c>
      <c r="F19" s="47">
        <v>4</v>
      </c>
      <c r="G19" s="7">
        <v>2</v>
      </c>
      <c r="H19" s="7">
        <v>0</v>
      </c>
    </row>
    <row r="20" spans="1:8" x14ac:dyDescent="0.35">
      <c r="A20" s="8" t="s">
        <v>20</v>
      </c>
      <c r="B20" s="7" t="s">
        <v>12</v>
      </c>
      <c r="C20" s="7">
        <v>17</v>
      </c>
      <c r="D20" s="7">
        <v>15</v>
      </c>
      <c r="E20" s="7">
        <v>15</v>
      </c>
      <c r="F20" s="47">
        <v>4</v>
      </c>
      <c r="G20" s="7">
        <v>2</v>
      </c>
      <c r="H20" s="48">
        <v>0</v>
      </c>
    </row>
    <row r="21" spans="1:8" x14ac:dyDescent="0.35">
      <c r="A21" s="8" t="s">
        <v>27</v>
      </c>
      <c r="B21" s="7" t="s">
        <v>26</v>
      </c>
      <c r="C21" s="7">
        <v>18</v>
      </c>
      <c r="D21" s="7">
        <v>16</v>
      </c>
      <c r="E21" s="7">
        <v>15</v>
      </c>
      <c r="F21" s="47">
        <v>4</v>
      </c>
      <c r="G21" s="7">
        <v>2</v>
      </c>
      <c r="H21" s="44">
        <v>0</v>
      </c>
    </row>
    <row r="22" spans="1:8" x14ac:dyDescent="0.35">
      <c r="A22" s="8" t="s">
        <v>31</v>
      </c>
      <c r="B22" s="7" t="s">
        <v>12</v>
      </c>
      <c r="C22" s="7">
        <v>15</v>
      </c>
      <c r="D22" s="7">
        <v>14</v>
      </c>
      <c r="E22" s="7">
        <v>12</v>
      </c>
      <c r="F22" s="47">
        <v>3</v>
      </c>
      <c r="G22" s="7">
        <v>2</v>
      </c>
      <c r="H22" s="7">
        <v>0</v>
      </c>
    </row>
    <row r="23" spans="1:8" x14ac:dyDescent="0.35">
      <c r="A23" s="8" t="s">
        <v>15</v>
      </c>
      <c r="B23" s="7" t="s">
        <v>12</v>
      </c>
      <c r="C23" s="7">
        <v>18</v>
      </c>
      <c r="D23" s="7">
        <v>16</v>
      </c>
      <c r="E23" s="7">
        <v>15</v>
      </c>
      <c r="F23" s="47">
        <v>4</v>
      </c>
      <c r="G23" s="7">
        <v>2</v>
      </c>
      <c r="H23" s="48">
        <v>0</v>
      </c>
    </row>
    <row r="24" spans="1:8" x14ac:dyDescent="0.35">
      <c r="A24" s="8" t="s">
        <v>21</v>
      </c>
      <c r="B24" s="7" t="s">
        <v>12</v>
      </c>
      <c r="C24" s="7">
        <v>20</v>
      </c>
      <c r="D24" s="7">
        <v>18</v>
      </c>
      <c r="E24" s="7">
        <v>18</v>
      </c>
      <c r="F24" s="47">
        <v>4</v>
      </c>
      <c r="G24" s="7">
        <v>2</v>
      </c>
      <c r="H24" s="44">
        <v>0</v>
      </c>
    </row>
    <row r="25" spans="1:8" x14ac:dyDescent="0.35">
      <c r="A25" s="8" t="s">
        <v>101</v>
      </c>
      <c r="B25" s="7">
        <v>0</v>
      </c>
      <c r="C25" s="7">
        <v>0</v>
      </c>
      <c r="D25" s="7">
        <v>0</v>
      </c>
      <c r="E25" s="7">
        <v>0</v>
      </c>
      <c r="F25" s="7">
        <v>2</v>
      </c>
      <c r="G25" s="7">
        <v>2</v>
      </c>
      <c r="H25" s="7">
        <v>0</v>
      </c>
    </row>
    <row r="26" spans="1:8" x14ac:dyDescent="0.35">
      <c r="A26" s="8" t="s">
        <v>79</v>
      </c>
      <c r="B26" s="7">
        <v>0</v>
      </c>
      <c r="C26" s="7">
        <v>0</v>
      </c>
      <c r="D26" s="7">
        <v>0</v>
      </c>
      <c r="E26" s="7">
        <v>0</v>
      </c>
      <c r="F26" s="7">
        <v>0</v>
      </c>
      <c r="G26" s="7">
        <v>1</v>
      </c>
      <c r="H26" s="48">
        <v>0</v>
      </c>
    </row>
    <row r="27" spans="1:8" x14ac:dyDescent="0.35">
      <c r="A27" s="8" t="s">
        <v>32</v>
      </c>
      <c r="B27" s="7" t="s">
        <v>12</v>
      </c>
      <c r="C27" s="7">
        <v>15</v>
      </c>
      <c r="D27" s="7">
        <v>15</v>
      </c>
      <c r="E27" s="7">
        <v>12</v>
      </c>
      <c r="F27" s="7">
        <v>3</v>
      </c>
      <c r="G27" s="7">
        <v>2</v>
      </c>
      <c r="H27" s="44">
        <v>0</v>
      </c>
    </row>
    <row r="28" spans="1:8" x14ac:dyDescent="0.35">
      <c r="A28" s="8" t="s">
        <v>33</v>
      </c>
      <c r="B28" s="7" t="s">
        <v>12</v>
      </c>
      <c r="C28" s="7">
        <v>18</v>
      </c>
      <c r="D28" s="7">
        <v>16</v>
      </c>
      <c r="E28" s="7">
        <v>16</v>
      </c>
      <c r="F28" s="7">
        <v>4</v>
      </c>
      <c r="G28" s="7">
        <v>2</v>
      </c>
      <c r="H28" s="7">
        <v>0</v>
      </c>
    </row>
    <row r="29" spans="1:8" x14ac:dyDescent="0.35">
      <c r="A29" s="8" t="s">
        <v>17</v>
      </c>
      <c r="B29" s="7" t="s">
        <v>12</v>
      </c>
      <c r="C29" s="7">
        <v>15</v>
      </c>
      <c r="D29" s="7">
        <v>14</v>
      </c>
      <c r="E29" s="7">
        <v>12</v>
      </c>
      <c r="F29" s="7">
        <v>4</v>
      </c>
      <c r="G29" s="7">
        <v>2</v>
      </c>
      <c r="H29" s="48">
        <v>0</v>
      </c>
    </row>
    <row r="30" spans="1:8" x14ac:dyDescent="0.35">
      <c r="A30" s="8" t="s">
        <v>57</v>
      </c>
      <c r="B30" s="7">
        <v>0</v>
      </c>
      <c r="C30" s="7">
        <v>0</v>
      </c>
      <c r="D30" s="7">
        <v>0</v>
      </c>
      <c r="E30" s="7">
        <v>0</v>
      </c>
      <c r="F30" s="7">
        <v>2</v>
      </c>
      <c r="G30" s="7">
        <v>1</v>
      </c>
      <c r="H30" s="44">
        <v>0</v>
      </c>
    </row>
    <row r="31" spans="1:8" x14ac:dyDescent="0.35">
      <c r="A31" s="12" t="s">
        <v>18</v>
      </c>
      <c r="B31" s="13" t="s">
        <v>12</v>
      </c>
      <c r="C31" s="13">
        <v>17</v>
      </c>
      <c r="D31" s="13">
        <v>15</v>
      </c>
      <c r="E31" s="13">
        <v>14</v>
      </c>
      <c r="F31" s="14">
        <v>4</v>
      </c>
      <c r="G31" s="13">
        <v>2</v>
      </c>
      <c r="H31" s="7">
        <v>0</v>
      </c>
    </row>
    <row r="32" spans="1:8" ht="44.5" customHeight="1" x14ac:dyDescent="0.35">
      <c r="A32" s="12" t="s">
        <v>134</v>
      </c>
      <c r="B32" s="26" t="s">
        <v>158</v>
      </c>
      <c r="C32" s="26" t="s">
        <v>159</v>
      </c>
      <c r="D32" s="26" t="s">
        <v>159</v>
      </c>
      <c r="E32" s="26" t="s">
        <v>160</v>
      </c>
      <c r="F32" s="26" t="s">
        <v>135</v>
      </c>
      <c r="G32" s="26" t="s">
        <v>159</v>
      </c>
      <c r="H32" s="26" t="s">
        <v>187</v>
      </c>
    </row>
    <row r="33" spans="1:8" ht="47.5" customHeight="1" x14ac:dyDescent="0.35">
      <c r="A33" s="10" t="s">
        <v>12</v>
      </c>
      <c r="B33" s="88" t="s">
        <v>34</v>
      </c>
      <c r="C33" s="88"/>
      <c r="D33" s="88"/>
      <c r="E33" s="88"/>
      <c r="F33" s="88"/>
    </row>
    <row r="34" spans="1:8" x14ac:dyDescent="0.35">
      <c r="A34" s="10"/>
      <c r="B34" s="20"/>
      <c r="C34" s="20"/>
      <c r="D34" s="20"/>
      <c r="E34" s="20"/>
      <c r="F34" s="20"/>
    </row>
    <row r="35" spans="1:8" x14ac:dyDescent="0.35">
      <c r="A35" s="10"/>
      <c r="B35" s="20"/>
      <c r="C35" s="20"/>
      <c r="D35" s="20"/>
      <c r="E35" s="20"/>
      <c r="F35" s="20"/>
    </row>
    <row r="36" spans="1:8" x14ac:dyDescent="0.35">
      <c r="A36" s="21" t="s">
        <v>47</v>
      </c>
    </row>
    <row r="37" spans="1:8" ht="72.5" x14ac:dyDescent="0.35">
      <c r="A37" s="16" t="s">
        <v>10</v>
      </c>
      <c r="B37" s="40" t="s">
        <v>41</v>
      </c>
      <c r="C37" s="40" t="s">
        <v>42</v>
      </c>
      <c r="D37" s="40" t="s">
        <v>43</v>
      </c>
      <c r="E37" s="40" t="s">
        <v>44</v>
      </c>
      <c r="F37" s="40" t="s">
        <v>45</v>
      </c>
      <c r="G37" s="39" t="s">
        <v>152</v>
      </c>
      <c r="H37" s="39" t="s">
        <v>176</v>
      </c>
    </row>
    <row r="38" spans="1:8" x14ac:dyDescent="0.35">
      <c r="A38" s="49" t="s">
        <v>169</v>
      </c>
      <c r="B38" s="78" t="s">
        <v>64</v>
      </c>
      <c r="C38" s="78" t="s">
        <v>64</v>
      </c>
      <c r="D38" s="78" t="s">
        <v>64</v>
      </c>
      <c r="E38" s="78" t="s">
        <v>64</v>
      </c>
      <c r="F38" s="78" t="s">
        <v>64</v>
      </c>
      <c r="G38" s="74" t="s">
        <v>13</v>
      </c>
      <c r="H38" s="79" t="s">
        <v>64</v>
      </c>
    </row>
    <row r="39" spans="1:8" x14ac:dyDescent="0.35">
      <c r="A39" s="8" t="s">
        <v>22</v>
      </c>
      <c r="B39" s="69" t="s">
        <v>64</v>
      </c>
      <c r="C39" s="73" t="s">
        <v>13</v>
      </c>
      <c r="D39" s="73" t="s">
        <v>13</v>
      </c>
      <c r="E39" s="73" t="s">
        <v>13</v>
      </c>
      <c r="F39" s="73" t="s">
        <v>13</v>
      </c>
      <c r="G39" s="74" t="s">
        <v>13</v>
      </c>
      <c r="H39" s="79" t="s">
        <v>64</v>
      </c>
    </row>
    <row r="40" spans="1:8" x14ac:dyDescent="0.35">
      <c r="A40" s="8" t="s">
        <v>98</v>
      </c>
      <c r="B40" s="69" t="s">
        <v>64</v>
      </c>
      <c r="C40" s="69" t="s">
        <v>64</v>
      </c>
      <c r="D40" s="69" t="s">
        <v>64</v>
      </c>
      <c r="E40" s="69" t="s">
        <v>64</v>
      </c>
      <c r="F40" s="75" t="s">
        <v>13</v>
      </c>
      <c r="G40" s="75" t="s">
        <v>13</v>
      </c>
      <c r="H40" s="79" t="s">
        <v>64</v>
      </c>
    </row>
    <row r="41" spans="1:8" x14ac:dyDescent="0.35">
      <c r="A41" s="8" t="s">
        <v>11</v>
      </c>
      <c r="B41" s="69" t="s">
        <v>64</v>
      </c>
      <c r="C41" s="73" t="s">
        <v>13</v>
      </c>
      <c r="D41" s="73" t="s">
        <v>13</v>
      </c>
      <c r="E41" s="73" t="s">
        <v>13</v>
      </c>
      <c r="F41" s="75" t="s">
        <v>13</v>
      </c>
      <c r="G41" s="75" t="s">
        <v>13</v>
      </c>
      <c r="H41" s="79" t="s">
        <v>64</v>
      </c>
    </row>
    <row r="42" spans="1:8" x14ac:dyDescent="0.35">
      <c r="A42" s="8" t="s">
        <v>28</v>
      </c>
      <c r="B42" s="69" t="s">
        <v>64</v>
      </c>
      <c r="C42" s="73" t="s">
        <v>13</v>
      </c>
      <c r="D42" s="73" t="s">
        <v>13</v>
      </c>
      <c r="E42" s="73" t="s">
        <v>13</v>
      </c>
      <c r="F42" s="75" t="s">
        <v>13</v>
      </c>
      <c r="G42" s="75" t="s">
        <v>13</v>
      </c>
      <c r="H42" s="79" t="s">
        <v>64</v>
      </c>
    </row>
    <row r="43" spans="1:8" x14ac:dyDescent="0.35">
      <c r="A43" s="8" t="s">
        <v>23</v>
      </c>
      <c r="B43" s="69" t="s">
        <v>64</v>
      </c>
      <c r="C43" s="73" t="s">
        <v>13</v>
      </c>
      <c r="D43" s="73" t="s">
        <v>13</v>
      </c>
      <c r="E43" s="73" t="s">
        <v>13</v>
      </c>
      <c r="F43" s="75" t="s">
        <v>13</v>
      </c>
      <c r="G43" s="75" t="s">
        <v>13</v>
      </c>
      <c r="H43" s="79" t="s">
        <v>64</v>
      </c>
    </row>
    <row r="44" spans="1:8" x14ac:dyDescent="0.35">
      <c r="A44" s="8" t="s">
        <v>19</v>
      </c>
      <c r="B44" s="69" t="s">
        <v>64</v>
      </c>
      <c r="C44" s="73" t="s">
        <v>13</v>
      </c>
      <c r="D44" s="73" t="s">
        <v>13</v>
      </c>
      <c r="E44" s="73" t="s">
        <v>13</v>
      </c>
      <c r="F44" s="75" t="s">
        <v>13</v>
      </c>
      <c r="G44" s="75" t="s">
        <v>13</v>
      </c>
      <c r="H44" s="79" t="s">
        <v>64</v>
      </c>
    </row>
    <row r="45" spans="1:8" x14ac:dyDescent="0.35">
      <c r="A45" s="8" t="s">
        <v>16</v>
      </c>
      <c r="B45" s="69" t="s">
        <v>64</v>
      </c>
      <c r="C45" s="73" t="s">
        <v>13</v>
      </c>
      <c r="D45" s="73" t="s">
        <v>13</v>
      </c>
      <c r="E45" s="73" t="s">
        <v>13</v>
      </c>
      <c r="F45" s="75" t="s">
        <v>13</v>
      </c>
      <c r="G45" s="75" t="s">
        <v>13</v>
      </c>
      <c r="H45" s="79" t="s">
        <v>64</v>
      </c>
    </row>
    <row r="46" spans="1:8" x14ac:dyDescent="0.35">
      <c r="A46" s="8" t="s">
        <v>24</v>
      </c>
      <c r="B46" s="69" t="s">
        <v>64</v>
      </c>
      <c r="C46" s="73" t="s">
        <v>13</v>
      </c>
      <c r="D46" s="73" t="s">
        <v>13</v>
      </c>
      <c r="E46" s="73" t="s">
        <v>13</v>
      </c>
      <c r="F46" s="73" t="s">
        <v>13</v>
      </c>
      <c r="G46" s="74" t="s">
        <v>13</v>
      </c>
      <c r="H46" s="79" t="s">
        <v>64</v>
      </c>
    </row>
    <row r="47" spans="1:8" x14ac:dyDescent="0.35">
      <c r="A47" s="8" t="s">
        <v>89</v>
      </c>
      <c r="B47" s="69" t="s">
        <v>64</v>
      </c>
      <c r="C47" s="69" t="s">
        <v>64</v>
      </c>
      <c r="D47" s="69" t="s">
        <v>64</v>
      </c>
      <c r="E47" s="69" t="s">
        <v>64</v>
      </c>
      <c r="F47" s="73" t="s">
        <v>13</v>
      </c>
      <c r="G47" s="80" t="s">
        <v>64</v>
      </c>
      <c r="H47" s="79" t="s">
        <v>64</v>
      </c>
    </row>
    <row r="48" spans="1:8" x14ac:dyDescent="0.35">
      <c r="A48" s="8" t="s">
        <v>167</v>
      </c>
      <c r="B48" s="69" t="s">
        <v>64</v>
      </c>
      <c r="C48" s="81" t="s">
        <v>64</v>
      </c>
      <c r="D48" s="81" t="s">
        <v>64</v>
      </c>
      <c r="E48" s="81" t="s">
        <v>64</v>
      </c>
      <c r="F48" s="75" t="s">
        <v>13</v>
      </c>
      <c r="G48" s="80" t="s">
        <v>64</v>
      </c>
      <c r="H48" s="79" t="s">
        <v>64</v>
      </c>
    </row>
    <row r="49" spans="1:8" x14ac:dyDescent="0.35">
      <c r="A49" s="8" t="s">
        <v>14</v>
      </c>
      <c r="B49" s="69" t="s">
        <v>64</v>
      </c>
      <c r="C49" s="73" t="s">
        <v>13</v>
      </c>
      <c r="D49" s="73" t="s">
        <v>13</v>
      </c>
      <c r="E49" s="73" t="s">
        <v>13</v>
      </c>
      <c r="F49" s="75" t="s">
        <v>13</v>
      </c>
      <c r="G49" s="75" t="s">
        <v>13</v>
      </c>
      <c r="H49" s="79" t="s">
        <v>64</v>
      </c>
    </row>
    <row r="50" spans="1:8" x14ac:dyDescent="0.35">
      <c r="A50" s="8" t="s">
        <v>25</v>
      </c>
      <c r="B50" s="73" t="s">
        <v>13</v>
      </c>
      <c r="C50" s="73" t="s">
        <v>13</v>
      </c>
      <c r="D50" s="73" t="s">
        <v>13</v>
      </c>
      <c r="E50" s="73" t="s">
        <v>13</v>
      </c>
      <c r="F50" s="75" t="s">
        <v>13</v>
      </c>
      <c r="G50" s="75" t="s">
        <v>13</v>
      </c>
      <c r="H50" s="79" t="s">
        <v>64</v>
      </c>
    </row>
    <row r="51" spans="1:8" x14ac:dyDescent="0.35">
      <c r="A51" s="8" t="s">
        <v>29</v>
      </c>
      <c r="B51" s="69" t="s">
        <v>64</v>
      </c>
      <c r="C51" s="73" t="s">
        <v>13</v>
      </c>
      <c r="D51" s="73" t="s">
        <v>13</v>
      </c>
      <c r="E51" s="73" t="s">
        <v>13</v>
      </c>
      <c r="F51" s="75" t="s">
        <v>13</v>
      </c>
      <c r="G51" s="75" t="s">
        <v>13</v>
      </c>
      <c r="H51" s="79" t="s">
        <v>64</v>
      </c>
    </row>
    <row r="52" spans="1:8" x14ac:dyDescent="0.35">
      <c r="A52" s="8" t="s">
        <v>30</v>
      </c>
      <c r="B52" s="69" t="s">
        <v>64</v>
      </c>
      <c r="C52" s="73" t="s">
        <v>13</v>
      </c>
      <c r="D52" s="73" t="s">
        <v>13</v>
      </c>
      <c r="E52" s="73" t="s">
        <v>13</v>
      </c>
      <c r="F52" s="75" t="s">
        <v>13</v>
      </c>
      <c r="G52" s="75" t="s">
        <v>13</v>
      </c>
      <c r="H52" s="79" t="s">
        <v>64</v>
      </c>
    </row>
    <row r="53" spans="1:8" x14ac:dyDescent="0.35">
      <c r="A53" s="8" t="s">
        <v>20</v>
      </c>
      <c r="B53" s="69" t="s">
        <v>64</v>
      </c>
      <c r="C53" s="73" t="s">
        <v>13</v>
      </c>
      <c r="D53" s="73" t="s">
        <v>13</v>
      </c>
      <c r="E53" s="73" t="s">
        <v>13</v>
      </c>
      <c r="F53" s="75" t="s">
        <v>13</v>
      </c>
      <c r="G53" s="75" t="s">
        <v>13</v>
      </c>
      <c r="H53" s="79" t="s">
        <v>64</v>
      </c>
    </row>
    <row r="54" spans="1:8" x14ac:dyDescent="0.35">
      <c r="A54" s="8" t="s">
        <v>27</v>
      </c>
      <c r="B54" s="73" t="s">
        <v>13</v>
      </c>
      <c r="C54" s="73" t="s">
        <v>13</v>
      </c>
      <c r="D54" s="73" t="s">
        <v>13</v>
      </c>
      <c r="E54" s="73" t="s">
        <v>13</v>
      </c>
      <c r="F54" s="75" t="s">
        <v>13</v>
      </c>
      <c r="G54" s="75" t="s">
        <v>13</v>
      </c>
      <c r="H54" s="79" t="s">
        <v>64</v>
      </c>
    </row>
    <row r="55" spans="1:8" x14ac:dyDescent="0.35">
      <c r="A55" s="8" t="s">
        <v>31</v>
      </c>
      <c r="B55" s="69" t="s">
        <v>64</v>
      </c>
      <c r="C55" s="73" t="s">
        <v>13</v>
      </c>
      <c r="D55" s="73" t="s">
        <v>13</v>
      </c>
      <c r="E55" s="73" t="s">
        <v>13</v>
      </c>
      <c r="F55" s="75" t="s">
        <v>13</v>
      </c>
      <c r="G55" s="75" t="s">
        <v>13</v>
      </c>
      <c r="H55" s="79" t="s">
        <v>64</v>
      </c>
    </row>
    <row r="56" spans="1:8" x14ac:dyDescent="0.35">
      <c r="A56" s="8" t="s">
        <v>15</v>
      </c>
      <c r="B56" s="69" t="s">
        <v>64</v>
      </c>
      <c r="C56" s="73" t="s">
        <v>13</v>
      </c>
      <c r="D56" s="73" t="s">
        <v>13</v>
      </c>
      <c r="E56" s="73" t="s">
        <v>13</v>
      </c>
      <c r="F56" s="75" t="s">
        <v>13</v>
      </c>
      <c r="G56" s="75" t="s">
        <v>13</v>
      </c>
      <c r="H56" s="79" t="s">
        <v>64</v>
      </c>
    </row>
    <row r="57" spans="1:8" x14ac:dyDescent="0.35">
      <c r="A57" s="8" t="s">
        <v>21</v>
      </c>
      <c r="B57" s="69" t="s">
        <v>64</v>
      </c>
      <c r="C57" s="73" t="s">
        <v>13</v>
      </c>
      <c r="D57" s="73" t="s">
        <v>13</v>
      </c>
      <c r="E57" s="73" t="s">
        <v>13</v>
      </c>
      <c r="F57" s="73" t="s">
        <v>13</v>
      </c>
      <c r="G57" s="74" t="s">
        <v>13</v>
      </c>
      <c r="H57" s="79" t="s">
        <v>64</v>
      </c>
    </row>
    <row r="58" spans="1:8" x14ac:dyDescent="0.35">
      <c r="A58" s="8" t="s">
        <v>101</v>
      </c>
      <c r="B58" s="69" t="s">
        <v>64</v>
      </c>
      <c r="C58" s="69" t="s">
        <v>64</v>
      </c>
      <c r="D58" s="69" t="s">
        <v>64</v>
      </c>
      <c r="E58" s="69" t="s">
        <v>64</v>
      </c>
      <c r="F58" s="75" t="s">
        <v>13</v>
      </c>
      <c r="G58" s="75" t="s">
        <v>13</v>
      </c>
      <c r="H58" s="79" t="s">
        <v>64</v>
      </c>
    </row>
    <row r="59" spans="1:8" x14ac:dyDescent="0.35">
      <c r="A59" s="8" t="s">
        <v>32</v>
      </c>
      <c r="B59" s="69" t="s">
        <v>64</v>
      </c>
      <c r="C59" s="73" t="s">
        <v>13</v>
      </c>
      <c r="D59" s="73" t="s">
        <v>13</v>
      </c>
      <c r="E59" s="73" t="s">
        <v>13</v>
      </c>
      <c r="F59" s="75" t="s">
        <v>13</v>
      </c>
      <c r="G59" s="75" t="s">
        <v>13</v>
      </c>
      <c r="H59" s="79" t="s">
        <v>64</v>
      </c>
    </row>
    <row r="60" spans="1:8" x14ac:dyDescent="0.35">
      <c r="A60" s="8" t="s">
        <v>33</v>
      </c>
      <c r="B60" s="69" t="s">
        <v>64</v>
      </c>
      <c r="C60" s="73" t="s">
        <v>13</v>
      </c>
      <c r="D60" s="73" t="s">
        <v>13</v>
      </c>
      <c r="E60" s="73" t="s">
        <v>13</v>
      </c>
      <c r="F60" s="75" t="s">
        <v>13</v>
      </c>
      <c r="G60" s="75" t="s">
        <v>13</v>
      </c>
      <c r="H60" s="79" t="s">
        <v>64</v>
      </c>
    </row>
    <row r="61" spans="1:8" x14ac:dyDescent="0.35">
      <c r="A61" s="8" t="s">
        <v>17</v>
      </c>
      <c r="B61" s="69" t="s">
        <v>64</v>
      </c>
      <c r="C61" s="73" t="s">
        <v>13</v>
      </c>
      <c r="D61" s="73" t="s">
        <v>13</v>
      </c>
      <c r="E61" s="73" t="s">
        <v>13</v>
      </c>
      <c r="F61" s="75" t="s">
        <v>13</v>
      </c>
      <c r="G61" s="75" t="s">
        <v>13</v>
      </c>
      <c r="H61" s="79" t="s">
        <v>64</v>
      </c>
    </row>
    <row r="62" spans="1:8" x14ac:dyDescent="0.35">
      <c r="A62" s="12" t="s">
        <v>18</v>
      </c>
      <c r="B62" s="82" t="s">
        <v>64</v>
      </c>
      <c r="C62" s="76" t="s">
        <v>13</v>
      </c>
      <c r="D62" s="76" t="s">
        <v>13</v>
      </c>
      <c r="E62" s="76" t="s">
        <v>13</v>
      </c>
      <c r="F62" s="77" t="s">
        <v>13</v>
      </c>
      <c r="G62" s="77" t="s">
        <v>13</v>
      </c>
      <c r="H62" s="79" t="s">
        <v>64</v>
      </c>
    </row>
    <row r="63" spans="1:8" ht="44.15" customHeight="1" x14ac:dyDescent="0.45">
      <c r="A63" s="12" t="s">
        <v>40</v>
      </c>
      <c r="B63" s="17"/>
      <c r="C63" s="18"/>
      <c r="D63" s="18"/>
      <c r="E63" s="18"/>
      <c r="F63" s="19"/>
      <c r="G63" s="18"/>
      <c r="H63" s="18"/>
    </row>
    <row r="64" spans="1:8" ht="48.5" customHeight="1" x14ac:dyDescent="0.35">
      <c r="A64" s="11" t="s">
        <v>13</v>
      </c>
      <c r="B64" s="88" t="s">
        <v>65</v>
      </c>
      <c r="C64" s="88"/>
      <c r="D64" s="88"/>
      <c r="E64" s="88"/>
      <c r="F64" s="88"/>
    </row>
    <row r="67" spans="1:8" x14ac:dyDescent="0.35">
      <c r="A67" s="21" t="s">
        <v>53</v>
      </c>
    </row>
    <row r="68" spans="1:8" ht="101.5" x14ac:dyDescent="0.35">
      <c r="A68" s="29" t="s">
        <v>10</v>
      </c>
      <c r="B68" s="40" t="s">
        <v>48</v>
      </c>
      <c r="C68" s="40" t="s">
        <v>49</v>
      </c>
      <c r="D68" s="40" t="s">
        <v>50</v>
      </c>
      <c r="E68" s="40" t="s">
        <v>51</v>
      </c>
      <c r="F68" s="40" t="s">
        <v>52</v>
      </c>
      <c r="G68" s="39" t="s">
        <v>153</v>
      </c>
      <c r="H68" s="39" t="s">
        <v>177</v>
      </c>
    </row>
    <row r="69" spans="1:8" x14ac:dyDescent="0.35">
      <c r="A69" s="83" t="s">
        <v>169</v>
      </c>
      <c r="B69" s="25" t="s">
        <v>64</v>
      </c>
      <c r="C69" s="25" t="s">
        <v>64</v>
      </c>
      <c r="D69" s="25" t="s">
        <v>64</v>
      </c>
      <c r="E69" s="25" t="s">
        <v>64</v>
      </c>
      <c r="F69" s="46" t="s">
        <v>64</v>
      </c>
      <c r="G69" s="25" t="s">
        <v>64</v>
      </c>
      <c r="H69" s="55"/>
    </row>
    <row r="70" spans="1:8" x14ac:dyDescent="0.35">
      <c r="A70" s="8" t="s">
        <v>22</v>
      </c>
      <c r="B70" s="25" t="s">
        <v>64</v>
      </c>
      <c r="C70" s="25">
        <v>65</v>
      </c>
      <c r="D70" s="25">
        <v>32</v>
      </c>
      <c r="E70" s="25">
        <v>0</v>
      </c>
      <c r="F70" s="46" t="s">
        <v>64</v>
      </c>
      <c r="G70" s="43">
        <v>104</v>
      </c>
      <c r="H70" s="54"/>
    </row>
    <row r="71" spans="1:8" x14ac:dyDescent="0.35">
      <c r="A71" s="8" t="s">
        <v>98</v>
      </c>
      <c r="B71" s="25" t="s">
        <v>64</v>
      </c>
      <c r="C71" s="25" t="s">
        <v>64</v>
      </c>
      <c r="D71" s="25" t="s">
        <v>64</v>
      </c>
      <c r="E71" s="25" t="s">
        <v>64</v>
      </c>
      <c r="F71" s="46" t="s">
        <v>64</v>
      </c>
      <c r="G71" s="25">
        <v>27</v>
      </c>
      <c r="H71" s="55"/>
    </row>
    <row r="72" spans="1:8" x14ac:dyDescent="0.35">
      <c r="A72" s="8" t="s">
        <v>11</v>
      </c>
      <c r="B72" s="25" t="s">
        <v>64</v>
      </c>
      <c r="C72" s="25">
        <v>0</v>
      </c>
      <c r="D72" s="25">
        <v>0</v>
      </c>
      <c r="E72" s="25">
        <v>0</v>
      </c>
      <c r="F72" s="46" t="s">
        <v>64</v>
      </c>
      <c r="G72" s="25">
        <v>1</v>
      </c>
      <c r="H72" s="55"/>
    </row>
    <row r="73" spans="1:8" x14ac:dyDescent="0.35">
      <c r="A73" s="8" t="s">
        <v>28</v>
      </c>
      <c r="B73" s="25" t="s">
        <v>64</v>
      </c>
      <c r="C73" s="25">
        <v>150</v>
      </c>
      <c r="D73" s="25">
        <v>53</v>
      </c>
      <c r="E73" s="25">
        <v>12</v>
      </c>
      <c r="F73" s="46" t="s">
        <v>64</v>
      </c>
      <c r="G73" s="25">
        <v>153</v>
      </c>
      <c r="H73" s="55"/>
    </row>
    <row r="74" spans="1:8" x14ac:dyDescent="0.35">
      <c r="A74" s="8" t="s">
        <v>23</v>
      </c>
      <c r="B74" s="25" t="s">
        <v>64</v>
      </c>
      <c r="C74" s="25">
        <v>74</v>
      </c>
      <c r="D74" s="25">
        <v>215</v>
      </c>
      <c r="E74" s="25">
        <v>15</v>
      </c>
      <c r="F74" s="46" t="s">
        <v>64</v>
      </c>
      <c r="G74" s="25">
        <v>281</v>
      </c>
      <c r="H74" s="55"/>
    </row>
    <row r="75" spans="1:8" x14ac:dyDescent="0.35">
      <c r="A75" s="8" t="s">
        <v>19</v>
      </c>
      <c r="B75" s="25" t="s">
        <v>64</v>
      </c>
      <c r="C75" s="25">
        <v>7</v>
      </c>
      <c r="D75" s="25">
        <v>8</v>
      </c>
      <c r="E75" s="25">
        <v>9</v>
      </c>
      <c r="F75" s="46" t="s">
        <v>64</v>
      </c>
      <c r="G75" s="25">
        <v>16</v>
      </c>
      <c r="H75" s="63"/>
    </row>
    <row r="76" spans="1:8" x14ac:dyDescent="0.35">
      <c r="A76" s="8" t="s">
        <v>16</v>
      </c>
      <c r="B76" s="25" t="s">
        <v>64</v>
      </c>
      <c r="C76" s="25">
        <v>89</v>
      </c>
      <c r="D76" s="25">
        <v>85</v>
      </c>
      <c r="E76" s="25">
        <v>8</v>
      </c>
      <c r="F76" s="46" t="s">
        <v>64</v>
      </c>
      <c r="G76" s="25">
        <v>209</v>
      </c>
      <c r="H76" s="55"/>
    </row>
    <row r="77" spans="1:8" x14ac:dyDescent="0.35">
      <c r="A77" s="8" t="s">
        <v>24</v>
      </c>
      <c r="B77" s="25" t="s">
        <v>64</v>
      </c>
      <c r="C77" s="25">
        <v>6</v>
      </c>
      <c r="D77" s="25">
        <v>8</v>
      </c>
      <c r="E77" s="25">
        <v>0</v>
      </c>
      <c r="F77" s="46" t="s">
        <v>64</v>
      </c>
      <c r="G77" s="25">
        <v>26</v>
      </c>
      <c r="H77" s="55"/>
    </row>
    <row r="78" spans="1:8" x14ac:dyDescent="0.35">
      <c r="A78" s="8" t="s">
        <v>200</v>
      </c>
      <c r="B78" s="25" t="s">
        <v>64</v>
      </c>
      <c r="C78" s="25" t="s">
        <v>64</v>
      </c>
      <c r="D78" s="25" t="s">
        <v>64</v>
      </c>
      <c r="E78" s="25" t="s">
        <v>64</v>
      </c>
      <c r="F78" s="46" t="s">
        <v>64</v>
      </c>
      <c r="G78" s="25">
        <v>0</v>
      </c>
      <c r="H78" s="55"/>
    </row>
    <row r="79" spans="1:8" x14ac:dyDescent="0.35">
      <c r="A79" s="8" t="s">
        <v>201</v>
      </c>
      <c r="B79" s="25" t="s">
        <v>64</v>
      </c>
      <c r="C79" s="25" t="s">
        <v>64</v>
      </c>
      <c r="D79" s="25" t="s">
        <v>64</v>
      </c>
      <c r="E79" s="25" t="s">
        <v>64</v>
      </c>
      <c r="F79" s="46" t="s">
        <v>64</v>
      </c>
      <c r="G79" s="25">
        <v>37</v>
      </c>
      <c r="H79" s="55"/>
    </row>
    <row r="80" spans="1:8" x14ac:dyDescent="0.35">
      <c r="A80" s="8" t="s">
        <v>14</v>
      </c>
      <c r="B80" s="25" t="s">
        <v>64</v>
      </c>
      <c r="C80" s="25">
        <v>95</v>
      </c>
      <c r="D80" s="25">
        <v>84</v>
      </c>
      <c r="E80" s="25">
        <v>46</v>
      </c>
      <c r="F80" s="46" t="s">
        <v>64</v>
      </c>
      <c r="G80" s="25">
        <v>673</v>
      </c>
      <c r="H80" s="55"/>
    </row>
    <row r="81" spans="1:8" x14ac:dyDescent="0.35">
      <c r="A81" s="8" t="s">
        <v>25</v>
      </c>
      <c r="B81" s="25">
        <v>17</v>
      </c>
      <c r="C81" s="25">
        <v>233</v>
      </c>
      <c r="D81" s="25">
        <v>286</v>
      </c>
      <c r="E81" s="25">
        <v>0</v>
      </c>
      <c r="F81" s="46" t="s">
        <v>64</v>
      </c>
      <c r="G81" s="25">
        <v>1076</v>
      </c>
      <c r="H81" s="55"/>
    </row>
    <row r="82" spans="1:8" x14ac:dyDescent="0.35">
      <c r="A82" s="8" t="s">
        <v>29</v>
      </c>
      <c r="B82" s="25" t="s">
        <v>64</v>
      </c>
      <c r="C82" s="25">
        <v>6</v>
      </c>
      <c r="D82" s="25">
        <v>8</v>
      </c>
      <c r="E82" s="25">
        <v>2</v>
      </c>
      <c r="F82" s="46" t="s">
        <v>64</v>
      </c>
      <c r="G82" s="25">
        <v>2</v>
      </c>
      <c r="H82" s="55"/>
    </row>
    <row r="83" spans="1:8" x14ac:dyDescent="0.35">
      <c r="A83" s="8" t="s">
        <v>30</v>
      </c>
      <c r="B83" s="25" t="s">
        <v>64</v>
      </c>
      <c r="C83" s="25">
        <v>129</v>
      </c>
      <c r="D83" s="25">
        <v>116</v>
      </c>
      <c r="E83" s="25">
        <v>0</v>
      </c>
      <c r="F83" s="46" t="s">
        <v>64</v>
      </c>
      <c r="G83" s="25">
        <v>126</v>
      </c>
      <c r="H83" s="55"/>
    </row>
    <row r="84" spans="1:8" x14ac:dyDescent="0.35">
      <c r="A84" s="8" t="s">
        <v>20</v>
      </c>
      <c r="B84" s="25" t="s">
        <v>64</v>
      </c>
      <c r="C84" s="25">
        <v>23</v>
      </c>
      <c r="D84" s="25">
        <v>15</v>
      </c>
      <c r="E84" s="25">
        <v>0</v>
      </c>
      <c r="F84" s="46" t="s">
        <v>64</v>
      </c>
      <c r="G84" s="25">
        <v>8</v>
      </c>
      <c r="H84" s="55"/>
    </row>
    <row r="85" spans="1:8" x14ac:dyDescent="0.35">
      <c r="A85" s="8" t="s">
        <v>27</v>
      </c>
      <c r="B85" s="25">
        <v>8</v>
      </c>
      <c r="C85" s="25">
        <v>266</v>
      </c>
      <c r="D85" s="25">
        <v>209</v>
      </c>
      <c r="E85" s="25">
        <v>0</v>
      </c>
      <c r="F85" s="46" t="s">
        <v>64</v>
      </c>
      <c r="G85" s="25">
        <v>426</v>
      </c>
      <c r="H85" s="55"/>
    </row>
    <row r="86" spans="1:8" x14ac:dyDescent="0.35">
      <c r="A86" s="8" t="s">
        <v>31</v>
      </c>
      <c r="B86" s="25" t="s">
        <v>64</v>
      </c>
      <c r="C86" s="25">
        <v>5</v>
      </c>
      <c r="D86" s="25">
        <v>19</v>
      </c>
      <c r="E86" s="25">
        <v>0</v>
      </c>
      <c r="F86" s="46" t="s">
        <v>64</v>
      </c>
      <c r="G86" s="25">
        <v>16</v>
      </c>
      <c r="H86" s="55"/>
    </row>
    <row r="87" spans="1:8" x14ac:dyDescent="0.35">
      <c r="A87" s="8" t="s">
        <v>15</v>
      </c>
      <c r="B87" s="25" t="s">
        <v>64</v>
      </c>
      <c r="C87" s="25">
        <v>22</v>
      </c>
      <c r="D87" s="25">
        <v>47</v>
      </c>
      <c r="E87" s="25">
        <v>0</v>
      </c>
      <c r="F87" s="46" t="s">
        <v>64</v>
      </c>
      <c r="G87" s="25">
        <v>61</v>
      </c>
      <c r="H87" s="55"/>
    </row>
    <row r="88" spans="1:8" x14ac:dyDescent="0.35">
      <c r="A88" s="8" t="s">
        <v>21</v>
      </c>
      <c r="B88" s="25" t="s">
        <v>64</v>
      </c>
      <c r="C88" s="25">
        <v>23</v>
      </c>
      <c r="D88" s="25">
        <v>9</v>
      </c>
      <c r="E88" s="25">
        <v>8</v>
      </c>
      <c r="F88" s="46" t="s">
        <v>64</v>
      </c>
      <c r="G88" s="25">
        <v>86</v>
      </c>
      <c r="H88" s="55"/>
    </row>
    <row r="89" spans="1:8" x14ac:dyDescent="0.35">
      <c r="A89" s="8" t="s">
        <v>101</v>
      </c>
      <c r="B89" s="25" t="s">
        <v>64</v>
      </c>
      <c r="C89" s="25" t="s">
        <v>64</v>
      </c>
      <c r="D89" s="25" t="s">
        <v>64</v>
      </c>
      <c r="E89" s="25" t="s">
        <v>64</v>
      </c>
      <c r="F89" s="46" t="s">
        <v>64</v>
      </c>
      <c r="G89" s="25">
        <v>1</v>
      </c>
      <c r="H89" s="55"/>
    </row>
    <row r="90" spans="1:8" x14ac:dyDescent="0.35">
      <c r="A90" s="8" t="s">
        <v>32</v>
      </c>
      <c r="B90" s="25" t="s">
        <v>64</v>
      </c>
      <c r="C90" s="25">
        <v>204</v>
      </c>
      <c r="D90" s="25">
        <v>238</v>
      </c>
      <c r="E90" s="25">
        <v>0</v>
      </c>
      <c r="F90" s="46" t="s">
        <v>64</v>
      </c>
      <c r="G90" s="25">
        <v>654</v>
      </c>
      <c r="H90" s="55"/>
    </row>
    <row r="91" spans="1:8" x14ac:dyDescent="0.35">
      <c r="A91" s="8" t="s">
        <v>203</v>
      </c>
      <c r="B91" s="25"/>
      <c r="C91" s="25"/>
      <c r="D91" s="25"/>
      <c r="E91" s="25"/>
      <c r="F91" s="25"/>
      <c r="G91" s="25">
        <v>1</v>
      </c>
      <c r="H91" s="55"/>
    </row>
    <row r="92" spans="1:8" x14ac:dyDescent="0.35">
      <c r="A92" s="8" t="s">
        <v>102</v>
      </c>
      <c r="B92" s="25"/>
      <c r="C92" s="25"/>
      <c r="D92" s="25"/>
      <c r="E92" s="25"/>
      <c r="F92" s="25"/>
      <c r="G92" s="25">
        <v>1</v>
      </c>
      <c r="H92" s="55"/>
    </row>
    <row r="93" spans="1:8" x14ac:dyDescent="0.35">
      <c r="A93" s="8" t="s">
        <v>33</v>
      </c>
      <c r="B93" s="25" t="s">
        <v>64</v>
      </c>
      <c r="C93" s="25">
        <v>73</v>
      </c>
      <c r="D93" s="25">
        <v>60</v>
      </c>
      <c r="E93" s="25">
        <v>0</v>
      </c>
      <c r="F93" s="46" t="s">
        <v>64</v>
      </c>
      <c r="G93" s="25">
        <v>89</v>
      </c>
      <c r="H93" s="55"/>
    </row>
    <row r="94" spans="1:8" x14ac:dyDescent="0.35">
      <c r="A94" s="8" t="s">
        <v>17</v>
      </c>
      <c r="B94" s="25" t="s">
        <v>64</v>
      </c>
      <c r="C94" s="25">
        <v>10</v>
      </c>
      <c r="D94" s="25">
        <v>38</v>
      </c>
      <c r="E94" s="25">
        <v>0</v>
      </c>
      <c r="F94" s="46" t="s">
        <v>64</v>
      </c>
      <c r="G94" s="25">
        <v>0</v>
      </c>
      <c r="H94" s="55"/>
    </row>
    <row r="95" spans="1:8" x14ac:dyDescent="0.35">
      <c r="A95" s="8" t="s">
        <v>57</v>
      </c>
      <c r="B95" s="25" t="s">
        <v>64</v>
      </c>
      <c r="C95" s="25" t="s">
        <v>64</v>
      </c>
      <c r="D95" s="25" t="s">
        <v>64</v>
      </c>
      <c r="E95" s="25" t="s">
        <v>64</v>
      </c>
      <c r="F95" s="25">
        <v>0</v>
      </c>
      <c r="G95" s="25">
        <v>0</v>
      </c>
      <c r="H95" s="55"/>
    </row>
    <row r="96" spans="1:8" x14ac:dyDescent="0.35">
      <c r="A96" s="8" t="s">
        <v>168</v>
      </c>
      <c r="B96" s="25" t="s">
        <v>64</v>
      </c>
      <c r="C96" s="25" t="s">
        <v>64</v>
      </c>
      <c r="D96" s="25" t="s">
        <v>64</v>
      </c>
      <c r="E96" s="25" t="s">
        <v>64</v>
      </c>
      <c r="F96" s="25">
        <v>0</v>
      </c>
      <c r="G96" s="25">
        <v>0</v>
      </c>
      <c r="H96" s="55"/>
    </row>
    <row r="97" spans="1:8" x14ac:dyDescent="0.35">
      <c r="A97" s="12" t="s">
        <v>18</v>
      </c>
      <c r="B97" s="25" t="s">
        <v>64</v>
      </c>
      <c r="C97" s="26">
        <v>99</v>
      </c>
      <c r="D97" s="26">
        <v>87</v>
      </c>
      <c r="E97" s="26">
        <v>0</v>
      </c>
      <c r="F97" s="28" t="s">
        <v>64</v>
      </c>
      <c r="G97" s="26">
        <v>0</v>
      </c>
      <c r="H97" s="67"/>
    </row>
    <row r="98" spans="1:8" ht="28" customHeight="1" x14ac:dyDescent="0.35">
      <c r="A98" s="12" t="s">
        <v>40</v>
      </c>
      <c r="B98" s="26" t="s">
        <v>157</v>
      </c>
      <c r="C98" s="13">
        <f>SUBTOTAL(109,AirSafetyNumbersTaken[Number of individuals taken reported on licence return 2020])</f>
        <v>1579</v>
      </c>
      <c r="D98" s="13">
        <f>SUBTOTAL(109,AirSafetyNumbersTaken[Number of individuals taken reported on licence return 2021])</f>
        <v>1617</v>
      </c>
      <c r="E98" s="13">
        <f>SUBTOTAL(109,AirSafetyNumbersTaken[Number of individuals taken reported on licence return 2022])</f>
        <v>100</v>
      </c>
      <c r="F98" s="13">
        <f>SUBTOTAL(109,AirSafetyNumbersTaken[Number of individuals taken reported on licence return 2023])</f>
        <v>0</v>
      </c>
      <c r="G98" s="13">
        <f>SUBTOTAL(109,AirSafetyNumbersTaken[Number of individuals taken reported on licence return 2024])</f>
        <v>4074</v>
      </c>
      <c r="H98" s="57"/>
    </row>
    <row r="99" spans="1:8" ht="28" customHeight="1" x14ac:dyDescent="0.35">
      <c r="A99" s="53" t="s">
        <v>202</v>
      </c>
      <c r="B99" s="84"/>
    </row>
    <row r="100" spans="1:8" x14ac:dyDescent="0.35">
      <c r="A100" s="2"/>
      <c r="B100" s="2"/>
      <c r="C100" s="2"/>
      <c r="D100" s="2"/>
      <c r="E100" s="2"/>
      <c r="F100" s="2"/>
    </row>
  </sheetData>
  <mergeCells count="2">
    <mergeCell ref="B33:F33"/>
    <mergeCell ref="B64:F64"/>
  </mergeCells>
  <phoneticPr fontId="10" type="noConversion"/>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topLeftCell="A4" workbookViewId="0">
      <selection activeCell="I9" sqref="I9"/>
    </sheetView>
  </sheetViews>
  <sheetFormatPr defaultRowHeight="14.5" x14ac:dyDescent="0.35"/>
  <cols>
    <col min="1" max="6" width="10.26953125" customWidth="1"/>
    <col min="7" max="8" width="10.54296875" customWidth="1"/>
  </cols>
  <sheetData>
    <row r="1" spans="1:8" x14ac:dyDescent="0.35">
      <c r="A1" s="6" t="s">
        <v>94</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12" t="s">
        <v>95</v>
      </c>
      <c r="B5" s="13">
        <v>39</v>
      </c>
      <c r="C5" s="13">
        <v>25</v>
      </c>
      <c r="D5" s="13">
        <v>39</v>
      </c>
      <c r="E5" s="13">
        <v>34</v>
      </c>
      <c r="F5" s="28">
        <v>24</v>
      </c>
      <c r="G5" s="62">
        <v>12</v>
      </c>
      <c r="H5" s="62">
        <v>24</v>
      </c>
    </row>
    <row r="8" spans="1:8" x14ac:dyDescent="0.35">
      <c r="A8" s="21" t="s">
        <v>47</v>
      </c>
    </row>
    <row r="9" spans="1:8" ht="72.5" x14ac:dyDescent="0.35">
      <c r="A9" s="16" t="s">
        <v>10</v>
      </c>
      <c r="B9" s="40" t="s">
        <v>41</v>
      </c>
      <c r="C9" s="40" t="s">
        <v>42</v>
      </c>
      <c r="D9" s="40" t="s">
        <v>43</v>
      </c>
      <c r="E9" s="40" t="s">
        <v>44</v>
      </c>
      <c r="F9" s="40" t="s">
        <v>45</v>
      </c>
      <c r="G9" s="39" t="s">
        <v>152</v>
      </c>
      <c r="H9" s="39" t="s">
        <v>176</v>
      </c>
    </row>
    <row r="10" spans="1:8" ht="18.5" x14ac:dyDescent="0.35">
      <c r="A10" s="12" t="s">
        <v>95</v>
      </c>
      <c r="B10" s="18" t="s">
        <v>13</v>
      </c>
      <c r="C10" s="18" t="s">
        <v>13</v>
      </c>
      <c r="D10" s="18" t="s">
        <v>13</v>
      </c>
      <c r="E10" s="18" t="s">
        <v>13</v>
      </c>
      <c r="F10" s="18" t="s">
        <v>13</v>
      </c>
      <c r="G10" s="18" t="s">
        <v>13</v>
      </c>
      <c r="H10" s="18" t="s">
        <v>13</v>
      </c>
    </row>
    <row r="11" spans="1:8" ht="31" customHeight="1" x14ac:dyDescent="0.35">
      <c r="A11" s="11" t="s">
        <v>13</v>
      </c>
      <c r="B11" s="89" t="s">
        <v>96</v>
      </c>
      <c r="C11" s="89"/>
      <c r="D11" s="89"/>
      <c r="E11" s="89"/>
      <c r="F11" s="89"/>
    </row>
    <row r="14" spans="1:8" x14ac:dyDescent="0.35">
      <c r="A14" s="21" t="s">
        <v>53</v>
      </c>
    </row>
    <row r="15" spans="1:8" ht="101.5" x14ac:dyDescent="0.35">
      <c r="A15" s="16" t="s">
        <v>10</v>
      </c>
      <c r="B15" s="40" t="s">
        <v>48</v>
      </c>
      <c r="C15" s="40" t="s">
        <v>49</v>
      </c>
      <c r="D15" s="40" t="s">
        <v>50</v>
      </c>
      <c r="E15" s="40" t="s">
        <v>51</v>
      </c>
      <c r="F15" s="40" t="s">
        <v>52</v>
      </c>
      <c r="G15" s="39" t="s">
        <v>153</v>
      </c>
      <c r="H15" s="39" t="s">
        <v>177</v>
      </c>
    </row>
    <row r="16" spans="1:8" x14ac:dyDescent="0.35">
      <c r="A16" s="12" t="s">
        <v>95</v>
      </c>
      <c r="B16" s="13">
        <v>87</v>
      </c>
      <c r="C16" s="13">
        <v>115</v>
      </c>
      <c r="D16" s="13">
        <v>87</v>
      </c>
      <c r="E16" s="13">
        <v>63</v>
      </c>
      <c r="F16" s="28">
        <v>63</v>
      </c>
      <c r="G16" s="62">
        <v>4</v>
      </c>
      <c r="H16" s="64"/>
    </row>
    <row r="18" spans="1:6" x14ac:dyDescent="0.35">
      <c r="A18" s="2"/>
      <c r="B18" s="2"/>
      <c r="C18" s="2"/>
      <c r="D18" s="2"/>
      <c r="E18" s="2"/>
      <c r="F18" s="2"/>
    </row>
  </sheetData>
  <mergeCells count="1">
    <mergeCell ref="B11:F11"/>
  </mergeCells>
  <phoneticPr fontId="10" type="noConversion"/>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zoomScaleNormal="100" workbookViewId="0">
      <selection activeCell="G29" sqref="G29:G48"/>
    </sheetView>
  </sheetViews>
  <sheetFormatPr defaultRowHeight="14.5" x14ac:dyDescent="0.35"/>
  <cols>
    <col min="1" max="1" width="14.54296875" customWidth="1"/>
    <col min="2" max="4" width="10.26953125" customWidth="1"/>
    <col min="5" max="5" width="10.6328125" customWidth="1"/>
    <col min="6" max="6" width="12.6328125" customWidth="1"/>
    <col min="7" max="8" width="11" customWidth="1"/>
  </cols>
  <sheetData>
    <row r="1" spans="1:8" x14ac:dyDescent="0.35">
      <c r="A1" s="6" t="s">
        <v>97</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8" t="s">
        <v>58</v>
      </c>
      <c r="B5" s="7">
        <v>1</v>
      </c>
      <c r="C5" s="7">
        <v>2</v>
      </c>
      <c r="D5" s="25">
        <v>0</v>
      </c>
      <c r="E5" s="25">
        <v>0</v>
      </c>
      <c r="F5" s="25">
        <v>0</v>
      </c>
      <c r="G5" s="43">
        <v>0</v>
      </c>
      <c r="H5" s="43">
        <v>0</v>
      </c>
    </row>
    <row r="6" spans="1:8" x14ac:dyDescent="0.35">
      <c r="A6" s="8" t="s">
        <v>98</v>
      </c>
      <c r="B6" s="25">
        <v>0</v>
      </c>
      <c r="C6" s="25">
        <v>0</v>
      </c>
      <c r="D6" s="7">
        <v>1</v>
      </c>
      <c r="E6" s="25">
        <v>0</v>
      </c>
      <c r="F6" s="25">
        <v>0</v>
      </c>
      <c r="G6" s="25">
        <v>0</v>
      </c>
      <c r="H6" s="25">
        <v>0</v>
      </c>
    </row>
    <row r="7" spans="1:8" x14ac:dyDescent="0.35">
      <c r="A7" s="8" t="s">
        <v>11</v>
      </c>
      <c r="B7" s="25">
        <v>0</v>
      </c>
      <c r="C7" s="25">
        <v>0</v>
      </c>
      <c r="D7" s="25">
        <v>0</v>
      </c>
      <c r="E7" s="7">
        <v>1</v>
      </c>
      <c r="F7" s="25">
        <v>0</v>
      </c>
      <c r="G7" s="25">
        <v>0</v>
      </c>
      <c r="H7" s="25">
        <v>0</v>
      </c>
    </row>
    <row r="8" spans="1:8" x14ac:dyDescent="0.35">
      <c r="A8" s="8" t="s">
        <v>28</v>
      </c>
      <c r="B8" s="7">
        <v>1</v>
      </c>
      <c r="C8" s="7">
        <v>3</v>
      </c>
      <c r="D8" s="7">
        <v>1</v>
      </c>
      <c r="E8" s="7">
        <v>5</v>
      </c>
      <c r="F8" s="47">
        <v>2</v>
      </c>
      <c r="G8" s="7">
        <v>2</v>
      </c>
      <c r="H8" s="7">
        <v>1</v>
      </c>
    </row>
    <row r="9" spans="1:8" x14ac:dyDescent="0.35">
      <c r="A9" s="8" t="s">
        <v>55</v>
      </c>
      <c r="B9" s="7">
        <v>1</v>
      </c>
      <c r="C9" s="7">
        <v>1</v>
      </c>
      <c r="D9" s="25">
        <v>0</v>
      </c>
      <c r="E9" s="25">
        <v>0</v>
      </c>
      <c r="F9" s="25">
        <v>0</v>
      </c>
      <c r="G9" s="25">
        <v>0</v>
      </c>
      <c r="H9" s="25">
        <v>0</v>
      </c>
    </row>
    <row r="10" spans="1:8" x14ac:dyDescent="0.35">
      <c r="A10" s="8" t="s">
        <v>16</v>
      </c>
      <c r="B10" s="7">
        <v>1</v>
      </c>
      <c r="C10" s="7">
        <v>3</v>
      </c>
      <c r="D10" s="25">
        <v>0</v>
      </c>
      <c r="E10" s="7">
        <v>1</v>
      </c>
      <c r="F10" s="25">
        <v>0</v>
      </c>
      <c r="G10" s="25">
        <v>0</v>
      </c>
      <c r="H10" s="25">
        <v>0</v>
      </c>
    </row>
    <row r="11" spans="1:8" x14ac:dyDescent="0.35">
      <c r="A11" s="8" t="s">
        <v>99</v>
      </c>
      <c r="B11" s="7">
        <v>1</v>
      </c>
      <c r="C11" s="7">
        <v>1</v>
      </c>
      <c r="D11" s="7">
        <v>1</v>
      </c>
      <c r="E11" s="25">
        <v>0</v>
      </c>
      <c r="F11" s="25">
        <v>0</v>
      </c>
      <c r="G11" s="25">
        <v>0</v>
      </c>
      <c r="H11" s="25">
        <v>1</v>
      </c>
    </row>
    <row r="12" spans="1:8" x14ac:dyDescent="0.35">
      <c r="A12" s="8" t="s">
        <v>14</v>
      </c>
      <c r="B12" s="25">
        <v>0</v>
      </c>
      <c r="C12" s="25">
        <v>0</v>
      </c>
      <c r="D12" s="25">
        <v>0</v>
      </c>
      <c r="E12" s="7">
        <v>1</v>
      </c>
      <c r="F12" s="25">
        <v>0</v>
      </c>
      <c r="G12" s="25">
        <v>0</v>
      </c>
      <c r="H12" s="25">
        <v>0</v>
      </c>
    </row>
    <row r="13" spans="1:8" x14ac:dyDescent="0.35">
      <c r="A13" s="8" t="s">
        <v>29</v>
      </c>
      <c r="B13" s="25">
        <v>0</v>
      </c>
      <c r="C13" s="7">
        <v>2</v>
      </c>
      <c r="D13" s="7">
        <v>1</v>
      </c>
      <c r="E13" s="7">
        <v>5</v>
      </c>
      <c r="F13" s="47">
        <v>2</v>
      </c>
      <c r="G13" s="7">
        <v>2</v>
      </c>
      <c r="H13" s="7">
        <v>1</v>
      </c>
    </row>
    <row r="14" spans="1:8" x14ac:dyDescent="0.35">
      <c r="A14" s="8" t="s">
        <v>61</v>
      </c>
      <c r="B14" s="7">
        <v>1</v>
      </c>
      <c r="C14" s="7">
        <v>1</v>
      </c>
      <c r="D14" s="25">
        <v>0</v>
      </c>
      <c r="E14" s="25">
        <v>0</v>
      </c>
      <c r="F14" s="25">
        <v>0</v>
      </c>
      <c r="G14" s="25">
        <v>0</v>
      </c>
      <c r="H14" s="25">
        <v>0</v>
      </c>
    </row>
    <row r="15" spans="1:8" x14ac:dyDescent="0.35">
      <c r="A15" s="8" t="s">
        <v>30</v>
      </c>
      <c r="B15" s="25">
        <v>0</v>
      </c>
      <c r="C15" s="7">
        <v>1</v>
      </c>
      <c r="D15" s="25">
        <v>0</v>
      </c>
      <c r="E15" s="7">
        <v>3</v>
      </c>
      <c r="F15" s="47">
        <v>1</v>
      </c>
      <c r="G15" s="7">
        <v>1</v>
      </c>
      <c r="H15" s="7">
        <v>0</v>
      </c>
    </row>
    <row r="16" spans="1:8" x14ac:dyDescent="0.35">
      <c r="A16" s="8" t="s">
        <v>31</v>
      </c>
      <c r="B16" s="7">
        <v>1</v>
      </c>
      <c r="C16" s="7">
        <v>2</v>
      </c>
      <c r="D16" s="25">
        <v>0</v>
      </c>
      <c r="E16" s="7">
        <v>4</v>
      </c>
      <c r="F16" s="47">
        <v>2</v>
      </c>
      <c r="G16" s="7">
        <v>2</v>
      </c>
      <c r="H16" s="7">
        <v>1</v>
      </c>
    </row>
    <row r="17" spans="1:8" x14ac:dyDescent="0.35">
      <c r="A17" s="8" t="s">
        <v>100</v>
      </c>
      <c r="B17" s="7">
        <v>1</v>
      </c>
      <c r="C17" s="25">
        <v>0</v>
      </c>
      <c r="D17" s="25">
        <v>0</v>
      </c>
      <c r="E17" s="25">
        <v>0</v>
      </c>
      <c r="F17" s="25">
        <v>0</v>
      </c>
      <c r="G17" s="25">
        <v>0</v>
      </c>
      <c r="H17" s="25">
        <v>0</v>
      </c>
    </row>
    <row r="18" spans="1:8" x14ac:dyDescent="0.35">
      <c r="A18" s="8" t="s">
        <v>101</v>
      </c>
      <c r="B18" s="25">
        <v>0</v>
      </c>
      <c r="C18" s="25">
        <v>0</v>
      </c>
      <c r="D18" s="7">
        <v>1</v>
      </c>
      <c r="E18" s="25">
        <v>0</v>
      </c>
      <c r="F18" s="25">
        <v>0</v>
      </c>
      <c r="G18" s="25">
        <v>0</v>
      </c>
      <c r="H18" s="25">
        <v>0</v>
      </c>
    </row>
    <row r="19" spans="1:8" x14ac:dyDescent="0.35">
      <c r="A19" s="8" t="s">
        <v>32</v>
      </c>
      <c r="B19" s="7">
        <v>1</v>
      </c>
      <c r="C19" s="7">
        <v>2</v>
      </c>
      <c r="D19" s="25">
        <v>0</v>
      </c>
      <c r="E19" s="7">
        <v>1</v>
      </c>
      <c r="F19" s="25">
        <v>0</v>
      </c>
      <c r="G19" s="25">
        <v>0</v>
      </c>
      <c r="H19" s="25">
        <v>0</v>
      </c>
    </row>
    <row r="20" spans="1:8" x14ac:dyDescent="0.35">
      <c r="A20" s="8" t="s">
        <v>102</v>
      </c>
      <c r="B20" s="7">
        <v>1</v>
      </c>
      <c r="C20" s="25">
        <v>0</v>
      </c>
      <c r="D20" s="25">
        <v>0</v>
      </c>
      <c r="E20" s="25">
        <v>0</v>
      </c>
      <c r="F20" s="25">
        <v>0</v>
      </c>
      <c r="G20" s="25">
        <v>0</v>
      </c>
      <c r="H20" s="25">
        <v>0</v>
      </c>
    </row>
    <row r="21" spans="1:8" x14ac:dyDescent="0.35">
      <c r="A21" s="8" t="s">
        <v>103</v>
      </c>
      <c r="B21" s="7">
        <v>1</v>
      </c>
      <c r="C21" s="7">
        <v>1</v>
      </c>
      <c r="D21" s="25">
        <v>0</v>
      </c>
      <c r="E21" s="25">
        <v>0</v>
      </c>
      <c r="F21" s="25">
        <v>0</v>
      </c>
      <c r="G21" s="25">
        <v>0</v>
      </c>
      <c r="H21" s="25">
        <v>0</v>
      </c>
    </row>
    <row r="22" spans="1:8" x14ac:dyDescent="0.35">
      <c r="A22" s="8" t="s">
        <v>33</v>
      </c>
      <c r="B22" s="7">
        <v>1</v>
      </c>
      <c r="C22" s="7">
        <v>2</v>
      </c>
      <c r="D22" s="25">
        <v>0</v>
      </c>
      <c r="E22" s="25">
        <v>0</v>
      </c>
      <c r="F22" s="25">
        <v>0</v>
      </c>
      <c r="G22" s="25">
        <v>0</v>
      </c>
      <c r="H22" s="25">
        <v>0</v>
      </c>
    </row>
    <row r="23" spans="1:8" x14ac:dyDescent="0.35">
      <c r="A23" s="12" t="s">
        <v>18</v>
      </c>
      <c r="B23" s="13">
        <v>1</v>
      </c>
      <c r="C23" s="13">
        <v>3</v>
      </c>
      <c r="D23" s="25">
        <v>0</v>
      </c>
      <c r="E23" s="25">
        <v>0</v>
      </c>
      <c r="F23" s="25">
        <v>0</v>
      </c>
      <c r="G23" s="26">
        <v>0</v>
      </c>
      <c r="H23" s="26">
        <v>0</v>
      </c>
    </row>
    <row r="24" spans="1:8" ht="29" x14ac:dyDescent="0.35">
      <c r="A24" s="32" t="s">
        <v>134</v>
      </c>
      <c r="B24" s="26" t="s">
        <v>161</v>
      </c>
      <c r="C24" s="26" t="s">
        <v>147</v>
      </c>
      <c r="D24" s="26" t="s">
        <v>162</v>
      </c>
      <c r="E24" s="26" t="s">
        <v>135</v>
      </c>
      <c r="F24" s="26" t="s">
        <v>149</v>
      </c>
      <c r="G24" s="26" t="s">
        <v>149</v>
      </c>
      <c r="H24" s="26" t="s">
        <v>149</v>
      </c>
    </row>
    <row r="27" spans="1:8" x14ac:dyDescent="0.35">
      <c r="A27" s="21" t="s">
        <v>47</v>
      </c>
    </row>
    <row r="28" spans="1:8" ht="72.5" x14ac:dyDescent="0.35">
      <c r="A28" s="16" t="s">
        <v>10</v>
      </c>
      <c r="B28" s="15" t="s">
        <v>41</v>
      </c>
      <c r="C28" s="15" t="s">
        <v>42</v>
      </c>
      <c r="D28" s="15" t="s">
        <v>43</v>
      </c>
      <c r="E28" s="15" t="s">
        <v>44</v>
      </c>
      <c r="F28" s="40" t="s">
        <v>45</v>
      </c>
      <c r="G28" s="39" t="s">
        <v>152</v>
      </c>
      <c r="H28" s="31" t="s">
        <v>176</v>
      </c>
    </row>
    <row r="29" spans="1:8" x14ac:dyDescent="0.35">
      <c r="A29" s="8" t="s">
        <v>58</v>
      </c>
      <c r="B29" s="25">
        <v>10</v>
      </c>
      <c r="C29" s="25">
        <v>12</v>
      </c>
      <c r="D29" s="25" t="s">
        <v>64</v>
      </c>
      <c r="E29" s="25" t="s">
        <v>64</v>
      </c>
      <c r="F29" s="25" t="s">
        <v>64</v>
      </c>
      <c r="G29" s="25" t="s">
        <v>64</v>
      </c>
      <c r="H29" s="25" t="s">
        <v>64</v>
      </c>
    </row>
    <row r="30" spans="1:8" x14ac:dyDescent="0.35">
      <c r="A30" s="8" t="s">
        <v>98</v>
      </c>
      <c r="B30" s="25" t="s">
        <v>64</v>
      </c>
      <c r="C30" s="25" t="s">
        <v>64</v>
      </c>
      <c r="D30" s="25">
        <v>1</v>
      </c>
      <c r="E30" s="25" t="s">
        <v>64</v>
      </c>
      <c r="F30" s="25" t="s">
        <v>64</v>
      </c>
      <c r="G30" s="25" t="s">
        <v>64</v>
      </c>
      <c r="H30" s="25" t="s">
        <v>64</v>
      </c>
    </row>
    <row r="31" spans="1:8" x14ac:dyDescent="0.35">
      <c r="A31" s="8" t="s">
        <v>11</v>
      </c>
      <c r="B31" s="25" t="s">
        <v>64</v>
      </c>
      <c r="C31" s="25" t="s">
        <v>64</v>
      </c>
      <c r="D31" s="25" t="s">
        <v>64</v>
      </c>
      <c r="E31" s="22" t="s">
        <v>13</v>
      </c>
      <c r="F31" s="25" t="s">
        <v>64</v>
      </c>
      <c r="G31" s="25" t="s">
        <v>64</v>
      </c>
      <c r="H31" s="25" t="s">
        <v>64</v>
      </c>
    </row>
    <row r="32" spans="1:8" x14ac:dyDescent="0.35">
      <c r="A32" s="8" t="s">
        <v>28</v>
      </c>
      <c r="B32" s="25">
        <v>5</v>
      </c>
      <c r="C32" s="25" t="s">
        <v>105</v>
      </c>
      <c r="D32" s="22" t="s">
        <v>13</v>
      </c>
      <c r="E32" s="22" t="s">
        <v>13</v>
      </c>
      <c r="F32" s="50" t="s">
        <v>13</v>
      </c>
      <c r="G32" s="22" t="s">
        <v>13</v>
      </c>
      <c r="H32" s="22" t="s">
        <v>13</v>
      </c>
    </row>
    <row r="33" spans="1:8" x14ac:dyDescent="0.35">
      <c r="A33" s="8" t="s">
        <v>55</v>
      </c>
      <c r="B33" s="25">
        <v>3</v>
      </c>
      <c r="C33" s="25">
        <v>3</v>
      </c>
      <c r="D33" s="25" t="s">
        <v>64</v>
      </c>
      <c r="E33" s="25" t="s">
        <v>64</v>
      </c>
      <c r="F33" s="25" t="s">
        <v>64</v>
      </c>
      <c r="G33" s="25" t="s">
        <v>64</v>
      </c>
      <c r="H33" s="25" t="s">
        <v>64</v>
      </c>
    </row>
    <row r="34" spans="1:8" x14ac:dyDescent="0.35">
      <c r="A34" s="8" t="s">
        <v>16</v>
      </c>
      <c r="B34" s="25">
        <v>10</v>
      </c>
      <c r="C34" s="25" t="s">
        <v>106</v>
      </c>
      <c r="D34" s="25" t="s">
        <v>64</v>
      </c>
      <c r="E34" s="22" t="s">
        <v>13</v>
      </c>
      <c r="F34" s="25" t="s">
        <v>64</v>
      </c>
      <c r="G34" s="25" t="s">
        <v>64</v>
      </c>
      <c r="H34" s="25" t="s">
        <v>64</v>
      </c>
    </row>
    <row r="35" spans="1:8" x14ac:dyDescent="0.35">
      <c r="A35" s="8" t="s">
        <v>99</v>
      </c>
      <c r="B35" s="25">
        <v>2000</v>
      </c>
      <c r="C35" s="25">
        <v>2000</v>
      </c>
      <c r="D35" s="25">
        <v>2000</v>
      </c>
      <c r="E35" s="25" t="s">
        <v>64</v>
      </c>
      <c r="F35" s="25" t="s">
        <v>64</v>
      </c>
      <c r="G35" s="25" t="s">
        <v>64</v>
      </c>
      <c r="H35" s="25">
        <v>500</v>
      </c>
    </row>
    <row r="36" spans="1:8" x14ac:dyDescent="0.35">
      <c r="A36" s="8" t="s">
        <v>14</v>
      </c>
      <c r="B36" s="25" t="s">
        <v>64</v>
      </c>
      <c r="C36" s="25" t="s">
        <v>64</v>
      </c>
      <c r="D36" s="25" t="s">
        <v>64</v>
      </c>
      <c r="E36" s="22" t="s">
        <v>13</v>
      </c>
      <c r="F36" s="25" t="s">
        <v>64</v>
      </c>
      <c r="G36" s="25" t="s">
        <v>64</v>
      </c>
      <c r="H36" s="25" t="s">
        <v>64</v>
      </c>
    </row>
    <row r="37" spans="1:8" x14ac:dyDescent="0.35">
      <c r="A37" s="8" t="s">
        <v>29</v>
      </c>
      <c r="B37" s="25" t="s">
        <v>64</v>
      </c>
      <c r="C37" s="22" t="s">
        <v>13</v>
      </c>
      <c r="D37" s="22" t="s">
        <v>13</v>
      </c>
      <c r="E37" s="22" t="s">
        <v>13</v>
      </c>
      <c r="F37" s="50" t="s">
        <v>13</v>
      </c>
      <c r="G37" s="22" t="s">
        <v>13</v>
      </c>
      <c r="H37" s="22" t="s">
        <v>13</v>
      </c>
    </row>
    <row r="38" spans="1:8" x14ac:dyDescent="0.35">
      <c r="A38" s="8" t="s">
        <v>61</v>
      </c>
      <c r="B38" s="25">
        <v>10</v>
      </c>
      <c r="C38" s="25">
        <v>10</v>
      </c>
      <c r="D38" s="25" t="s">
        <v>64</v>
      </c>
      <c r="E38" s="25" t="s">
        <v>64</v>
      </c>
      <c r="F38" s="25" t="s">
        <v>64</v>
      </c>
      <c r="G38" s="25" t="s">
        <v>64</v>
      </c>
      <c r="H38" s="25" t="s">
        <v>64</v>
      </c>
    </row>
    <row r="39" spans="1:8" x14ac:dyDescent="0.35">
      <c r="A39" s="8" t="s">
        <v>30</v>
      </c>
      <c r="B39" s="25" t="s">
        <v>64</v>
      </c>
      <c r="C39" s="22" t="s">
        <v>13</v>
      </c>
      <c r="D39" s="25" t="s">
        <v>64</v>
      </c>
      <c r="E39" s="22" t="s">
        <v>13</v>
      </c>
      <c r="F39" s="50" t="s">
        <v>13</v>
      </c>
      <c r="G39" s="22" t="s">
        <v>13</v>
      </c>
      <c r="H39" s="25" t="s">
        <v>64</v>
      </c>
    </row>
    <row r="40" spans="1:8" x14ac:dyDescent="0.35">
      <c r="A40" s="8" t="s">
        <v>31</v>
      </c>
      <c r="B40" s="25">
        <v>15</v>
      </c>
      <c r="C40" s="25">
        <v>65</v>
      </c>
      <c r="D40" s="25" t="s">
        <v>64</v>
      </c>
      <c r="E40" s="22" t="s">
        <v>13</v>
      </c>
      <c r="F40" s="50" t="s">
        <v>13</v>
      </c>
      <c r="G40" s="22" t="s">
        <v>13</v>
      </c>
      <c r="H40" s="22" t="s">
        <v>13</v>
      </c>
    </row>
    <row r="41" spans="1:8" x14ac:dyDescent="0.35">
      <c r="A41" s="8" t="s">
        <v>100</v>
      </c>
      <c r="B41" s="25">
        <v>3</v>
      </c>
      <c r="C41" s="25" t="s">
        <v>64</v>
      </c>
      <c r="D41" s="25" t="s">
        <v>64</v>
      </c>
      <c r="E41" s="25" t="s">
        <v>64</v>
      </c>
      <c r="F41" s="25" t="s">
        <v>64</v>
      </c>
      <c r="G41" s="25" t="s">
        <v>64</v>
      </c>
      <c r="H41" s="25" t="s">
        <v>64</v>
      </c>
    </row>
    <row r="42" spans="1:8" x14ac:dyDescent="0.35">
      <c r="A42" s="8" t="s">
        <v>101</v>
      </c>
      <c r="B42" s="25" t="s">
        <v>64</v>
      </c>
      <c r="C42" s="25" t="s">
        <v>64</v>
      </c>
      <c r="D42" s="25">
        <v>50</v>
      </c>
      <c r="E42" s="25" t="s">
        <v>64</v>
      </c>
      <c r="F42" s="25" t="s">
        <v>64</v>
      </c>
      <c r="G42" s="25" t="s">
        <v>64</v>
      </c>
      <c r="H42" s="25" t="s">
        <v>64</v>
      </c>
    </row>
    <row r="43" spans="1:8" x14ac:dyDescent="0.35">
      <c r="A43" s="8" t="s">
        <v>32</v>
      </c>
      <c r="B43" s="25">
        <v>10</v>
      </c>
      <c r="C43" s="25" t="s">
        <v>107</v>
      </c>
      <c r="D43" s="25" t="s">
        <v>64</v>
      </c>
      <c r="E43" s="22" t="s">
        <v>13</v>
      </c>
      <c r="F43" s="25" t="s">
        <v>64</v>
      </c>
      <c r="G43" s="25" t="s">
        <v>64</v>
      </c>
      <c r="H43" s="25" t="s">
        <v>64</v>
      </c>
    </row>
    <row r="44" spans="1:8" x14ac:dyDescent="0.35">
      <c r="A44" s="8" t="s">
        <v>102</v>
      </c>
      <c r="B44" s="25">
        <v>5</v>
      </c>
      <c r="C44" s="25" t="s">
        <v>64</v>
      </c>
      <c r="D44" s="25" t="s">
        <v>64</v>
      </c>
      <c r="E44" s="25" t="s">
        <v>64</v>
      </c>
      <c r="F44" s="25" t="s">
        <v>64</v>
      </c>
      <c r="G44" s="25" t="s">
        <v>64</v>
      </c>
      <c r="H44" s="25" t="s">
        <v>64</v>
      </c>
    </row>
    <row r="45" spans="1:8" x14ac:dyDescent="0.35">
      <c r="A45" s="8" t="s">
        <v>103</v>
      </c>
      <c r="B45" s="25">
        <v>5</v>
      </c>
      <c r="C45" s="25">
        <v>5</v>
      </c>
      <c r="D45" s="25" t="s">
        <v>64</v>
      </c>
      <c r="E45" s="25" t="s">
        <v>64</v>
      </c>
      <c r="F45" s="25" t="s">
        <v>64</v>
      </c>
      <c r="G45" s="25" t="s">
        <v>64</v>
      </c>
      <c r="H45" s="25" t="s">
        <v>64</v>
      </c>
    </row>
    <row r="46" spans="1:8" x14ac:dyDescent="0.35">
      <c r="A46" s="8" t="s">
        <v>33</v>
      </c>
      <c r="B46" s="25">
        <v>5</v>
      </c>
      <c r="C46" s="25">
        <v>7</v>
      </c>
      <c r="D46" s="25" t="s">
        <v>64</v>
      </c>
      <c r="E46" s="25" t="s">
        <v>64</v>
      </c>
      <c r="F46" s="25" t="s">
        <v>64</v>
      </c>
      <c r="G46" s="25" t="s">
        <v>64</v>
      </c>
      <c r="H46" s="25" t="s">
        <v>64</v>
      </c>
    </row>
    <row r="47" spans="1:8" x14ac:dyDescent="0.35">
      <c r="A47" s="12" t="s">
        <v>18</v>
      </c>
      <c r="B47" s="26">
        <v>10</v>
      </c>
      <c r="C47" s="26" t="s">
        <v>106</v>
      </c>
      <c r="D47" s="25" t="s">
        <v>64</v>
      </c>
      <c r="E47" s="25" t="s">
        <v>64</v>
      </c>
      <c r="F47" s="25" t="s">
        <v>64</v>
      </c>
      <c r="G47" s="25" t="s">
        <v>64</v>
      </c>
      <c r="H47" s="25" t="s">
        <v>64</v>
      </c>
    </row>
    <row r="48" spans="1:8" x14ac:dyDescent="0.35">
      <c r="A48" s="12" t="s">
        <v>40</v>
      </c>
      <c r="B48" s="26">
        <f>SUBTOTAL(109,OtherBirdPermittedNumbers[Number of individuals permitted to be killed 2019])</f>
        <v>2091</v>
      </c>
      <c r="C48" s="26" t="s">
        <v>155</v>
      </c>
      <c r="D48" s="26" t="s">
        <v>156</v>
      </c>
      <c r="E48" s="26" t="s">
        <v>154</v>
      </c>
      <c r="F48" s="28" t="s">
        <v>154</v>
      </c>
      <c r="G48" s="28" t="s">
        <v>154</v>
      </c>
      <c r="H48" s="26" t="s">
        <v>195</v>
      </c>
    </row>
    <row r="49" spans="1:8" ht="31" customHeight="1" x14ac:dyDescent="0.35">
      <c r="A49" s="11" t="s">
        <v>13</v>
      </c>
      <c r="B49" s="89" t="s">
        <v>104</v>
      </c>
      <c r="C49" s="89"/>
      <c r="D49" s="89"/>
      <c r="E49" s="89"/>
      <c r="F49" s="89"/>
    </row>
    <row r="52" spans="1:8" x14ac:dyDescent="0.35">
      <c r="A52" s="21" t="s">
        <v>53</v>
      </c>
    </row>
    <row r="53" spans="1:8" ht="101.5" x14ac:dyDescent="0.35">
      <c r="A53" s="16" t="s">
        <v>10</v>
      </c>
      <c r="B53" s="40" t="s">
        <v>48</v>
      </c>
      <c r="C53" s="40" t="s">
        <v>49</v>
      </c>
      <c r="D53" s="40" t="s">
        <v>50</v>
      </c>
      <c r="E53" s="40" t="s">
        <v>51</v>
      </c>
      <c r="F53" s="40" t="s">
        <v>52</v>
      </c>
      <c r="G53" s="39" t="s">
        <v>153</v>
      </c>
      <c r="H53" s="31" t="s">
        <v>177</v>
      </c>
    </row>
    <row r="54" spans="1:8" x14ac:dyDescent="0.35">
      <c r="A54" s="8" t="s">
        <v>58</v>
      </c>
      <c r="B54" s="7">
        <v>0</v>
      </c>
      <c r="C54" s="7">
        <v>0</v>
      </c>
      <c r="D54" s="27" t="s">
        <v>64</v>
      </c>
      <c r="E54" s="27" t="s">
        <v>64</v>
      </c>
      <c r="F54" s="27" t="s">
        <v>64</v>
      </c>
      <c r="G54" s="25" t="s">
        <v>64</v>
      </c>
      <c r="H54" s="54"/>
    </row>
    <row r="55" spans="1:8" x14ac:dyDescent="0.35">
      <c r="A55" s="8" t="s">
        <v>98</v>
      </c>
      <c r="B55" s="25" t="s">
        <v>64</v>
      </c>
      <c r="C55" s="25" t="s">
        <v>64</v>
      </c>
      <c r="D55" s="7"/>
      <c r="E55" s="25" t="s">
        <v>64</v>
      </c>
      <c r="F55" s="25" t="s">
        <v>64</v>
      </c>
      <c r="G55" s="25" t="s">
        <v>64</v>
      </c>
      <c r="H55" s="55"/>
    </row>
    <row r="56" spans="1:8" x14ac:dyDescent="0.35">
      <c r="A56" s="8" t="s">
        <v>11</v>
      </c>
      <c r="B56" s="27" t="s">
        <v>64</v>
      </c>
      <c r="C56" s="27" t="s">
        <v>64</v>
      </c>
      <c r="D56" s="27" t="s">
        <v>64</v>
      </c>
      <c r="E56" s="7">
        <v>41</v>
      </c>
      <c r="F56" s="25" t="s">
        <v>64</v>
      </c>
      <c r="G56" s="25" t="s">
        <v>64</v>
      </c>
      <c r="H56" s="55"/>
    </row>
    <row r="57" spans="1:8" x14ac:dyDescent="0.35">
      <c r="A57" s="8" t="s">
        <v>28</v>
      </c>
      <c r="B57" s="7">
        <v>1</v>
      </c>
      <c r="C57" s="7">
        <v>76</v>
      </c>
      <c r="D57" s="7">
        <v>61</v>
      </c>
      <c r="E57" s="7">
        <v>94</v>
      </c>
      <c r="F57" s="47">
        <v>19</v>
      </c>
      <c r="G57" s="7">
        <v>50</v>
      </c>
      <c r="H57" s="58"/>
    </row>
    <row r="58" spans="1:8" x14ac:dyDescent="0.35">
      <c r="A58" s="8" t="s">
        <v>55</v>
      </c>
      <c r="B58" s="7">
        <v>0</v>
      </c>
      <c r="C58" s="7">
        <v>0</v>
      </c>
      <c r="D58" s="27" t="s">
        <v>64</v>
      </c>
      <c r="E58" s="27" t="s">
        <v>64</v>
      </c>
      <c r="F58" s="25" t="s">
        <v>64</v>
      </c>
      <c r="G58" s="25" t="s">
        <v>64</v>
      </c>
      <c r="H58" s="58"/>
    </row>
    <row r="59" spans="1:8" x14ac:dyDescent="0.35">
      <c r="A59" s="8" t="s">
        <v>16</v>
      </c>
      <c r="B59" s="7">
        <v>2</v>
      </c>
      <c r="C59" s="7">
        <v>23</v>
      </c>
      <c r="D59" s="25" t="s">
        <v>64</v>
      </c>
      <c r="E59" s="7"/>
      <c r="F59" s="47">
        <v>117</v>
      </c>
      <c r="G59" s="25" t="s">
        <v>64</v>
      </c>
      <c r="H59" s="58"/>
    </row>
    <row r="60" spans="1:8" x14ac:dyDescent="0.35">
      <c r="A60" s="8" t="s">
        <v>99</v>
      </c>
      <c r="B60" s="7">
        <v>1987</v>
      </c>
      <c r="C60" s="7">
        <v>0</v>
      </c>
      <c r="D60" s="7">
        <v>1900</v>
      </c>
      <c r="E60" s="27" t="s">
        <v>64</v>
      </c>
      <c r="F60" s="25" t="s">
        <v>64</v>
      </c>
      <c r="G60" s="25" t="s">
        <v>64</v>
      </c>
      <c r="H60" s="58"/>
    </row>
    <row r="61" spans="1:8" x14ac:dyDescent="0.35">
      <c r="A61" s="8" t="s">
        <v>14</v>
      </c>
      <c r="B61" s="25" t="s">
        <v>64</v>
      </c>
      <c r="C61" s="25" t="s">
        <v>64</v>
      </c>
      <c r="D61" s="25" t="s">
        <v>64</v>
      </c>
      <c r="E61" s="7">
        <v>17</v>
      </c>
      <c r="F61" s="25" t="s">
        <v>64</v>
      </c>
      <c r="G61" s="25" t="s">
        <v>64</v>
      </c>
      <c r="H61" s="58"/>
    </row>
    <row r="62" spans="1:8" x14ac:dyDescent="0.35">
      <c r="A62" s="8" t="s">
        <v>29</v>
      </c>
      <c r="B62" s="27" t="s">
        <v>64</v>
      </c>
      <c r="C62" s="7">
        <v>5</v>
      </c>
      <c r="D62" s="7">
        <v>0</v>
      </c>
      <c r="E62" s="7">
        <v>2</v>
      </c>
      <c r="F62" s="47">
        <v>19</v>
      </c>
      <c r="G62" s="7">
        <v>6</v>
      </c>
      <c r="H62" s="58"/>
    </row>
    <row r="63" spans="1:8" x14ac:dyDescent="0.35">
      <c r="A63" s="8" t="s">
        <v>61</v>
      </c>
      <c r="B63" s="7">
        <v>0</v>
      </c>
      <c r="C63" s="7">
        <v>1</v>
      </c>
      <c r="D63" s="25" t="s">
        <v>64</v>
      </c>
      <c r="E63" s="25" t="s">
        <v>64</v>
      </c>
      <c r="F63" s="25" t="s">
        <v>64</v>
      </c>
      <c r="G63" s="25" t="s">
        <v>64</v>
      </c>
      <c r="H63" s="58"/>
    </row>
    <row r="64" spans="1:8" x14ac:dyDescent="0.35">
      <c r="A64" s="8" t="s">
        <v>30</v>
      </c>
      <c r="B64" s="27" t="s">
        <v>64</v>
      </c>
      <c r="C64" s="7">
        <v>216</v>
      </c>
      <c r="D64" s="27" t="s">
        <v>64</v>
      </c>
      <c r="E64" s="7">
        <v>20</v>
      </c>
      <c r="F64" s="47">
        <v>8</v>
      </c>
      <c r="G64" s="7">
        <v>9</v>
      </c>
      <c r="H64" s="58"/>
    </row>
    <row r="65" spans="1:8" x14ac:dyDescent="0.35">
      <c r="A65" s="8" t="s">
        <v>31</v>
      </c>
      <c r="B65" s="7">
        <v>0</v>
      </c>
      <c r="C65" s="7">
        <v>25</v>
      </c>
      <c r="D65" s="25" t="s">
        <v>64</v>
      </c>
      <c r="E65" s="7">
        <v>3</v>
      </c>
      <c r="F65" s="47">
        <v>19</v>
      </c>
      <c r="G65" s="7">
        <v>5</v>
      </c>
      <c r="H65" s="58"/>
    </row>
    <row r="66" spans="1:8" x14ac:dyDescent="0.35">
      <c r="A66" s="8" t="s">
        <v>100</v>
      </c>
      <c r="B66" s="7"/>
      <c r="C66" s="25" t="s">
        <v>64</v>
      </c>
      <c r="D66" s="27" t="s">
        <v>64</v>
      </c>
      <c r="E66" s="27" t="s">
        <v>64</v>
      </c>
      <c r="F66" s="25" t="s">
        <v>64</v>
      </c>
      <c r="G66" s="25" t="s">
        <v>64</v>
      </c>
      <c r="H66" s="58"/>
    </row>
    <row r="67" spans="1:8" x14ac:dyDescent="0.35">
      <c r="A67" s="8" t="s">
        <v>101</v>
      </c>
      <c r="B67" s="25" t="s">
        <v>64</v>
      </c>
      <c r="C67" s="25" t="s">
        <v>64</v>
      </c>
      <c r="D67" s="7"/>
      <c r="E67" s="25" t="s">
        <v>64</v>
      </c>
      <c r="F67" s="25" t="s">
        <v>64</v>
      </c>
      <c r="G67" s="25" t="s">
        <v>64</v>
      </c>
      <c r="H67" s="58"/>
    </row>
    <row r="68" spans="1:8" x14ac:dyDescent="0.35">
      <c r="A68" s="8" t="s">
        <v>32</v>
      </c>
      <c r="B68" s="7">
        <v>1</v>
      </c>
      <c r="C68" s="7">
        <v>454</v>
      </c>
      <c r="D68" s="27" t="s">
        <v>64</v>
      </c>
      <c r="E68" s="7">
        <v>0</v>
      </c>
      <c r="F68" s="27" t="s">
        <v>64</v>
      </c>
      <c r="G68" s="25" t="s">
        <v>64</v>
      </c>
      <c r="H68" s="58"/>
    </row>
    <row r="69" spans="1:8" x14ac:dyDescent="0.35">
      <c r="A69" s="8" t="s">
        <v>102</v>
      </c>
      <c r="B69" s="7"/>
      <c r="C69" s="25" t="s">
        <v>64</v>
      </c>
      <c r="D69" s="25" t="s">
        <v>64</v>
      </c>
      <c r="E69" s="25" t="s">
        <v>64</v>
      </c>
      <c r="F69" s="27" t="s">
        <v>64</v>
      </c>
      <c r="G69" s="25" t="s">
        <v>64</v>
      </c>
      <c r="H69" s="58"/>
    </row>
    <row r="70" spans="1:8" x14ac:dyDescent="0.35">
      <c r="A70" s="8" t="s">
        <v>103</v>
      </c>
      <c r="B70" s="7">
        <v>1</v>
      </c>
      <c r="C70" s="7">
        <v>0</v>
      </c>
      <c r="D70" s="27" t="s">
        <v>64</v>
      </c>
      <c r="E70" s="27" t="s">
        <v>64</v>
      </c>
      <c r="F70" s="27" t="s">
        <v>64</v>
      </c>
      <c r="G70" s="25" t="s">
        <v>64</v>
      </c>
      <c r="H70" s="58"/>
    </row>
    <row r="71" spans="1:8" x14ac:dyDescent="0.35">
      <c r="A71" s="8" t="s">
        <v>33</v>
      </c>
      <c r="B71" s="7">
        <v>0</v>
      </c>
      <c r="C71" s="7">
        <v>0</v>
      </c>
      <c r="D71" s="25" t="s">
        <v>64</v>
      </c>
      <c r="E71" s="25" t="s">
        <v>64</v>
      </c>
      <c r="F71" s="27" t="s">
        <v>64</v>
      </c>
      <c r="G71" s="25" t="s">
        <v>64</v>
      </c>
      <c r="H71" s="58"/>
    </row>
    <row r="72" spans="1:8" x14ac:dyDescent="0.35">
      <c r="A72" s="8" t="s">
        <v>18</v>
      </c>
      <c r="B72" s="7">
        <v>0</v>
      </c>
      <c r="C72" s="7">
        <v>759</v>
      </c>
      <c r="D72" s="27" t="s">
        <v>64</v>
      </c>
      <c r="E72" s="27" t="s">
        <v>64</v>
      </c>
      <c r="F72" s="27" t="s">
        <v>64</v>
      </c>
      <c r="G72" s="25" t="s">
        <v>64</v>
      </c>
      <c r="H72" s="57"/>
    </row>
    <row r="73" spans="1:8" ht="31" customHeight="1" x14ac:dyDescent="0.35">
      <c r="A73" s="12" t="s">
        <v>40</v>
      </c>
      <c r="B73" s="13">
        <f>SUBTOTAL(109,OtherBirdNumbersTaken[Number of individuals taken reported on licence return 2019])</f>
        <v>1992</v>
      </c>
      <c r="C73" s="13">
        <f>SUBTOTAL(109,OtherBirdNumbersTaken[Number of individuals taken reported on licence return 2020])</f>
        <v>1559</v>
      </c>
      <c r="D73" s="13">
        <f>SUBTOTAL(109,OtherBirdNumbersTaken[Number of individuals taken reported on licence return 2021])</f>
        <v>1961</v>
      </c>
      <c r="E73" s="13">
        <f>SUBTOTAL(109,OtherBirdNumbersTaken[Number of individuals taken reported on licence return 2022])</f>
        <v>177</v>
      </c>
      <c r="F73" s="13">
        <f>SUBTOTAL(109,OtherBirdNumbersTaken[Number of individuals taken reported on licence return 2023])</f>
        <v>182</v>
      </c>
      <c r="G73" s="13">
        <f>SUBTOTAL(109,OtherBirdNumbersTaken[Number of individuals taken reported on licence return 2024])</f>
        <v>70</v>
      </c>
      <c r="H73" s="57"/>
    </row>
    <row r="74" spans="1:8" x14ac:dyDescent="0.35">
      <c r="A74" s="2"/>
      <c r="B74" s="2"/>
      <c r="C74" s="2"/>
      <c r="D74" s="2"/>
      <c r="E74" s="2"/>
      <c r="F74" s="2"/>
    </row>
  </sheetData>
  <mergeCells count="1">
    <mergeCell ref="B49:F49"/>
  </mergeCells>
  <phoneticPr fontId="10" type="noConversion"/>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G15" sqref="G15:G20"/>
    </sheetView>
  </sheetViews>
  <sheetFormatPr defaultRowHeight="14.5" x14ac:dyDescent="0.35"/>
  <cols>
    <col min="1" max="1" width="22.1796875" customWidth="1"/>
    <col min="2" max="5" width="10.26953125" customWidth="1"/>
    <col min="6" max="6" width="10.6328125" customWidth="1"/>
    <col min="7" max="8" width="10.26953125" customWidth="1"/>
    <col min="11" max="11" width="16.6328125" customWidth="1"/>
  </cols>
  <sheetData>
    <row r="1" spans="1:8" x14ac:dyDescent="0.35">
      <c r="A1" s="6" t="s">
        <v>92</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8" t="s">
        <v>86</v>
      </c>
      <c r="B5" s="7">
        <v>16</v>
      </c>
      <c r="C5" s="7">
        <v>23</v>
      </c>
      <c r="D5" s="7">
        <v>21</v>
      </c>
      <c r="E5" s="7">
        <v>25</v>
      </c>
      <c r="F5" s="47">
        <v>17</v>
      </c>
      <c r="G5" s="44">
        <v>25</v>
      </c>
      <c r="H5" s="44">
        <v>25</v>
      </c>
    </row>
    <row r="6" spans="1:8" x14ac:dyDescent="0.35">
      <c r="A6" s="8" t="s">
        <v>87</v>
      </c>
      <c r="B6" s="7">
        <v>12</v>
      </c>
      <c r="C6" s="7">
        <v>13</v>
      </c>
      <c r="D6" s="7">
        <v>11</v>
      </c>
      <c r="E6" s="7">
        <v>11</v>
      </c>
      <c r="F6" s="47">
        <v>24</v>
      </c>
      <c r="G6" s="7">
        <v>10</v>
      </c>
      <c r="H6" s="7">
        <v>13</v>
      </c>
    </row>
    <row r="7" spans="1:8" x14ac:dyDescent="0.35">
      <c r="A7" s="8" t="s">
        <v>88</v>
      </c>
      <c r="B7" s="7">
        <v>21</v>
      </c>
      <c r="C7" s="7">
        <v>34</v>
      </c>
      <c r="D7" s="7">
        <v>26</v>
      </c>
      <c r="E7" s="7">
        <v>32</v>
      </c>
      <c r="F7" s="47">
        <v>40</v>
      </c>
      <c r="G7" s="7">
        <v>37</v>
      </c>
      <c r="H7" s="7">
        <v>32</v>
      </c>
    </row>
    <row r="8" spans="1:8" x14ac:dyDescent="0.35">
      <c r="A8" s="8" t="s">
        <v>170</v>
      </c>
      <c r="B8" s="7">
        <v>0</v>
      </c>
      <c r="C8" s="7">
        <v>0</v>
      </c>
      <c r="D8" s="7">
        <v>0</v>
      </c>
      <c r="E8" s="7">
        <v>0</v>
      </c>
      <c r="F8" s="7">
        <v>1</v>
      </c>
      <c r="G8" s="7">
        <v>0</v>
      </c>
      <c r="H8" s="7">
        <v>0</v>
      </c>
    </row>
    <row r="9" spans="1:8" x14ac:dyDescent="0.35">
      <c r="A9" s="8" t="s">
        <v>89</v>
      </c>
      <c r="B9" s="7">
        <v>0</v>
      </c>
      <c r="C9" s="7">
        <v>2</v>
      </c>
      <c r="D9" s="7">
        <v>1</v>
      </c>
      <c r="E9" s="7">
        <v>2</v>
      </c>
      <c r="F9" s="47">
        <v>1</v>
      </c>
      <c r="G9" s="13">
        <v>1</v>
      </c>
      <c r="H9" s="13">
        <v>1</v>
      </c>
    </row>
    <row r="10" spans="1:8" x14ac:dyDescent="0.35">
      <c r="A10" s="32" t="s">
        <v>134</v>
      </c>
      <c r="B10" s="26" t="s">
        <v>146</v>
      </c>
      <c r="C10" s="26" t="s">
        <v>138</v>
      </c>
      <c r="D10" s="26" t="s">
        <v>163</v>
      </c>
      <c r="E10" s="26" t="s">
        <v>139</v>
      </c>
      <c r="F10" s="26" t="s">
        <v>145</v>
      </c>
      <c r="G10" s="26" t="s">
        <v>212</v>
      </c>
      <c r="H10" s="26" t="s">
        <v>208</v>
      </c>
    </row>
    <row r="13" spans="1:8" x14ac:dyDescent="0.35">
      <c r="A13" s="21" t="s">
        <v>47</v>
      </c>
    </row>
    <row r="14" spans="1:8" ht="72.5" x14ac:dyDescent="0.35">
      <c r="A14" s="16" t="s">
        <v>10</v>
      </c>
      <c r="B14" s="40" t="s">
        <v>41</v>
      </c>
      <c r="C14" s="40" t="s">
        <v>42</v>
      </c>
      <c r="D14" s="40" t="s">
        <v>43</v>
      </c>
      <c r="E14" s="40" t="s">
        <v>44</v>
      </c>
      <c r="F14" s="40" t="s">
        <v>45</v>
      </c>
      <c r="G14" s="39" t="s">
        <v>152</v>
      </c>
      <c r="H14" s="39" t="s">
        <v>176</v>
      </c>
    </row>
    <row r="15" spans="1:8" x14ac:dyDescent="0.35">
      <c r="A15" s="8" t="s">
        <v>86</v>
      </c>
      <c r="B15" s="7">
        <v>174</v>
      </c>
      <c r="C15" s="7">
        <v>323</v>
      </c>
      <c r="D15" s="7">
        <v>189</v>
      </c>
      <c r="E15" s="7">
        <v>375</v>
      </c>
      <c r="F15" s="47">
        <v>403</v>
      </c>
      <c r="G15" s="44">
        <v>404</v>
      </c>
      <c r="H15" s="44">
        <v>355</v>
      </c>
    </row>
    <row r="16" spans="1:8" x14ac:dyDescent="0.35">
      <c r="A16" s="8" t="s">
        <v>87</v>
      </c>
      <c r="B16" s="7">
        <v>34</v>
      </c>
      <c r="C16" s="7">
        <v>48</v>
      </c>
      <c r="D16" s="7">
        <v>20</v>
      </c>
      <c r="E16" s="7">
        <v>31</v>
      </c>
      <c r="F16" s="47">
        <v>53</v>
      </c>
      <c r="G16" s="7">
        <v>28</v>
      </c>
      <c r="H16" s="7">
        <v>42</v>
      </c>
    </row>
    <row r="17" spans="1:8" x14ac:dyDescent="0.35">
      <c r="A17" s="8" t="s">
        <v>88</v>
      </c>
      <c r="B17" s="7">
        <v>62</v>
      </c>
      <c r="C17" s="7">
        <v>135</v>
      </c>
      <c r="D17" s="7">
        <v>77</v>
      </c>
      <c r="E17" s="7">
        <v>204</v>
      </c>
      <c r="F17" s="47">
        <v>176</v>
      </c>
      <c r="G17" s="7">
        <v>179</v>
      </c>
      <c r="H17" s="7">
        <v>199</v>
      </c>
    </row>
    <row r="18" spans="1:8" x14ac:dyDescent="0.35">
      <c r="A18" s="8" t="s">
        <v>170</v>
      </c>
      <c r="B18" s="25" t="s">
        <v>64</v>
      </c>
      <c r="C18" s="25" t="s">
        <v>64</v>
      </c>
      <c r="D18" s="25" t="s">
        <v>64</v>
      </c>
      <c r="E18" s="25" t="s">
        <v>64</v>
      </c>
      <c r="F18" s="25">
        <v>1</v>
      </c>
      <c r="G18" s="25" t="s">
        <v>64</v>
      </c>
      <c r="H18" s="25" t="s">
        <v>64</v>
      </c>
    </row>
    <row r="19" spans="1:8" x14ac:dyDescent="0.35">
      <c r="A19" s="8" t="s">
        <v>89</v>
      </c>
      <c r="B19" s="25" t="s">
        <v>64</v>
      </c>
      <c r="C19" s="7">
        <v>4</v>
      </c>
      <c r="D19" s="7">
        <v>4</v>
      </c>
      <c r="E19" s="7">
        <v>5</v>
      </c>
      <c r="F19" s="47">
        <v>2</v>
      </c>
      <c r="G19" s="13">
        <v>1</v>
      </c>
      <c r="H19" s="13">
        <v>1</v>
      </c>
    </row>
    <row r="20" spans="1:8" x14ac:dyDescent="0.35">
      <c r="A20" s="12" t="s">
        <v>40</v>
      </c>
      <c r="B20" s="13">
        <f>SUBTOTAL(109,FishEatingBirdPermittedNumbers[Number of individuals permitted to be killed 2019])</f>
        <v>270</v>
      </c>
      <c r="C20" s="13">
        <f>SUBTOTAL(109,FishEatingBirdPermittedNumbers[Number of individuals permitted to be killed 2020])</f>
        <v>510</v>
      </c>
      <c r="D20" s="13">
        <f>SUBTOTAL(109,FishEatingBirdPermittedNumbers[Number of individuals permitted to be killed 2021])</f>
        <v>290</v>
      </c>
      <c r="E20" s="13">
        <f>SUBTOTAL(109,FishEatingBirdPermittedNumbers[Number of individuals permitted to be killed 2022])</f>
        <v>615</v>
      </c>
      <c r="F20" s="14">
        <f>SUBTOTAL(109,FishEatingBirdPermittedNumbers[Number of individuals permitted to be killed 2023])</f>
        <v>635</v>
      </c>
      <c r="G20" s="14">
        <f>SUBTOTAL(109,FishEatingBirdPermittedNumbers[Number of individuals permitted to be killed 2024])</f>
        <v>612</v>
      </c>
      <c r="H20" s="13">
        <f>SUBTOTAL(109,FishEatingBirdPermittedNumbers[Number of individuals permitted to be killed 2025])</f>
        <v>597</v>
      </c>
    </row>
    <row r="23" spans="1:8" x14ac:dyDescent="0.35">
      <c r="A23" s="21" t="s">
        <v>53</v>
      </c>
    </row>
    <row r="24" spans="1:8" ht="101.5" x14ac:dyDescent="0.35">
      <c r="A24" s="16" t="s">
        <v>10</v>
      </c>
      <c r="B24" s="40" t="s">
        <v>48</v>
      </c>
      <c r="C24" s="40" t="s">
        <v>49</v>
      </c>
      <c r="D24" s="40" t="s">
        <v>50</v>
      </c>
      <c r="E24" s="40" t="s">
        <v>51</v>
      </c>
      <c r="F24" s="40" t="s">
        <v>52</v>
      </c>
      <c r="G24" s="39" t="s">
        <v>153</v>
      </c>
      <c r="H24" s="39" t="s">
        <v>177</v>
      </c>
    </row>
    <row r="25" spans="1:8" x14ac:dyDescent="0.35">
      <c r="A25" s="8" t="s">
        <v>86</v>
      </c>
      <c r="B25" s="7">
        <v>147</v>
      </c>
      <c r="C25" s="7">
        <v>224</v>
      </c>
      <c r="D25" s="7">
        <v>171</v>
      </c>
      <c r="E25" s="7">
        <v>329</v>
      </c>
      <c r="F25" s="7">
        <v>121</v>
      </c>
      <c r="G25" s="44">
        <v>304</v>
      </c>
      <c r="H25" s="59"/>
    </row>
    <row r="26" spans="1:8" x14ac:dyDescent="0.35">
      <c r="A26" s="8" t="s">
        <v>87</v>
      </c>
      <c r="B26" s="7">
        <v>24</v>
      </c>
      <c r="C26" s="7">
        <v>29</v>
      </c>
      <c r="D26" s="7">
        <v>16</v>
      </c>
      <c r="E26" s="7">
        <v>24</v>
      </c>
      <c r="F26" s="7">
        <v>9</v>
      </c>
      <c r="G26" s="7">
        <v>27</v>
      </c>
      <c r="H26" s="58"/>
    </row>
    <row r="27" spans="1:8" x14ac:dyDescent="0.35">
      <c r="A27" s="8" t="s">
        <v>88</v>
      </c>
      <c r="B27" s="7">
        <v>35</v>
      </c>
      <c r="C27" s="7">
        <v>95</v>
      </c>
      <c r="D27" s="7">
        <v>62</v>
      </c>
      <c r="E27" s="7">
        <v>184</v>
      </c>
      <c r="F27" s="7">
        <v>73</v>
      </c>
      <c r="G27" s="7">
        <v>179</v>
      </c>
      <c r="H27" s="58"/>
    </row>
    <row r="28" spans="1:8" x14ac:dyDescent="0.35">
      <c r="A28" s="8" t="s">
        <v>170</v>
      </c>
      <c r="B28" s="25" t="s">
        <v>64</v>
      </c>
      <c r="C28" s="25" t="s">
        <v>64</v>
      </c>
      <c r="D28" s="25" t="s">
        <v>64</v>
      </c>
      <c r="E28" s="25" t="s">
        <v>64</v>
      </c>
      <c r="F28" s="7">
        <v>0</v>
      </c>
      <c r="G28" s="25" t="s">
        <v>64</v>
      </c>
      <c r="H28" s="58"/>
    </row>
    <row r="29" spans="1:8" x14ac:dyDescent="0.35">
      <c r="A29" s="8" t="s">
        <v>89</v>
      </c>
      <c r="B29" s="25" t="s">
        <v>64</v>
      </c>
      <c r="C29" s="7">
        <v>3</v>
      </c>
      <c r="D29" s="7">
        <v>2</v>
      </c>
      <c r="E29" s="7">
        <v>2</v>
      </c>
      <c r="F29" s="7">
        <v>2</v>
      </c>
      <c r="G29" s="13">
        <v>0</v>
      </c>
      <c r="H29" s="57"/>
    </row>
    <row r="30" spans="1:8" ht="33.5" customHeight="1" x14ac:dyDescent="0.35">
      <c r="A30" s="12" t="s">
        <v>40</v>
      </c>
      <c r="B30" s="13">
        <f>SUBTOTAL(109,FishEatingBirdNumbersTaken[Number of individuals taken reported on licence return 2019])</f>
        <v>206</v>
      </c>
      <c r="C30" s="13">
        <f>SUBTOTAL(109,FishEatingBirdNumbersTaken[Number of individuals taken reported on licence return 2020])</f>
        <v>351</v>
      </c>
      <c r="D30" s="13">
        <f>SUBTOTAL(109,FishEatingBirdNumbersTaken[Number of individuals taken reported on licence return 2021])</f>
        <v>251</v>
      </c>
      <c r="E30" s="13">
        <f>SUBTOTAL(109,FishEatingBirdNumbersTaken[Number of individuals taken reported on licence return 2022])</f>
        <v>539</v>
      </c>
      <c r="F30" s="14">
        <f>SUBTOTAL(109,FishEatingBirdNumbersTaken[Number of individuals taken reported on licence return 2023])</f>
        <v>205</v>
      </c>
      <c r="G30" s="14">
        <f>SUBTOTAL(109,FishEatingBirdNumbersTaken[Number of individuals taken reported on licence return 2024])</f>
        <v>510</v>
      </c>
      <c r="H30" s="57"/>
    </row>
    <row r="31" spans="1:8" x14ac:dyDescent="0.35">
      <c r="A31" s="2"/>
      <c r="B31" s="2"/>
      <c r="C31" s="2"/>
      <c r="D31" s="2"/>
      <c r="E31" s="2"/>
      <c r="F31" s="2"/>
    </row>
  </sheetData>
  <phoneticPr fontId="10" type="noConversion"/>
  <pageMargins left="0.7" right="0.7" top="0.75" bottom="0.75" header="0.3" footer="0.3"/>
  <pageSetup paperSize="9"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topLeftCell="A18" workbookViewId="0">
      <selection activeCell="G16" sqref="G16:G20"/>
    </sheetView>
  </sheetViews>
  <sheetFormatPr defaultRowHeight="14.5" x14ac:dyDescent="0.35"/>
  <cols>
    <col min="1" max="1" width="16.54296875" customWidth="1"/>
    <col min="2" max="5" width="10.26953125" customWidth="1"/>
    <col min="6" max="6" width="10.54296875" customWidth="1"/>
    <col min="7" max="8" width="10.26953125" customWidth="1"/>
  </cols>
  <sheetData>
    <row r="1" spans="1:8" x14ac:dyDescent="0.35">
      <c r="A1" s="6" t="s">
        <v>77</v>
      </c>
    </row>
    <row r="3" spans="1:8" x14ac:dyDescent="0.35">
      <c r="A3" s="21" t="s">
        <v>46</v>
      </c>
    </row>
    <row r="4" spans="1:8" ht="58" x14ac:dyDescent="0.35">
      <c r="A4" s="41" t="s">
        <v>10</v>
      </c>
      <c r="B4" s="39" t="s">
        <v>35</v>
      </c>
      <c r="C4" s="39" t="s">
        <v>36</v>
      </c>
      <c r="D4" s="39" t="s">
        <v>37</v>
      </c>
      <c r="E4" s="39" t="s">
        <v>38</v>
      </c>
      <c r="F4" s="39" t="s">
        <v>39</v>
      </c>
      <c r="G4" s="39" t="s">
        <v>151</v>
      </c>
      <c r="H4" s="39" t="s">
        <v>175</v>
      </c>
    </row>
    <row r="5" spans="1:8" x14ac:dyDescent="0.35">
      <c r="A5" s="8" t="s">
        <v>78</v>
      </c>
      <c r="B5" s="7">
        <v>21</v>
      </c>
      <c r="C5" s="7">
        <v>22</v>
      </c>
      <c r="D5" s="7">
        <v>16</v>
      </c>
      <c r="E5" s="7">
        <v>5</v>
      </c>
      <c r="F5" s="47">
        <v>6</v>
      </c>
      <c r="G5" s="44">
        <v>2</v>
      </c>
      <c r="H5" s="44">
        <v>4</v>
      </c>
    </row>
    <row r="6" spans="1:8" x14ac:dyDescent="0.35">
      <c r="A6" s="8" t="s">
        <v>11</v>
      </c>
      <c r="B6" s="7">
        <v>0</v>
      </c>
      <c r="C6" s="7">
        <v>2</v>
      </c>
      <c r="D6" s="7">
        <v>2</v>
      </c>
      <c r="E6" s="7">
        <v>0</v>
      </c>
      <c r="F6" s="47">
        <v>0</v>
      </c>
      <c r="G6" s="7">
        <v>0</v>
      </c>
      <c r="H6" s="7">
        <v>0</v>
      </c>
    </row>
    <row r="7" spans="1:8" x14ac:dyDescent="0.35">
      <c r="A7" s="8" t="s">
        <v>14</v>
      </c>
      <c r="B7" s="7">
        <v>13</v>
      </c>
      <c r="C7" s="7">
        <v>77</v>
      </c>
      <c r="D7" s="7">
        <v>1</v>
      </c>
      <c r="E7" s="7">
        <v>2</v>
      </c>
      <c r="F7" s="47">
        <v>1</v>
      </c>
      <c r="G7" s="7">
        <v>1</v>
      </c>
      <c r="H7" s="7">
        <v>2</v>
      </c>
    </row>
    <row r="8" spans="1:8" x14ac:dyDescent="0.35">
      <c r="A8" s="8" t="s">
        <v>79</v>
      </c>
      <c r="B8" s="7">
        <v>0</v>
      </c>
      <c r="C8" s="7">
        <v>31</v>
      </c>
      <c r="D8" s="7">
        <v>28</v>
      </c>
      <c r="E8" s="7">
        <v>23</v>
      </c>
      <c r="F8" s="47">
        <v>18</v>
      </c>
      <c r="G8" s="13">
        <v>20</v>
      </c>
      <c r="H8" s="13">
        <v>20</v>
      </c>
    </row>
    <row r="9" spans="1:8" ht="29" x14ac:dyDescent="0.35">
      <c r="A9" s="32" t="s">
        <v>134</v>
      </c>
      <c r="B9" s="26">
        <f>SUBTOTAL(109,GeeseLicencesIssued[Number of licences issued 2019])</f>
        <v>34</v>
      </c>
      <c r="C9" s="26" t="s">
        <v>144</v>
      </c>
      <c r="D9" s="26" t="s">
        <v>145</v>
      </c>
      <c r="E9" s="26" t="s">
        <v>164</v>
      </c>
      <c r="F9" s="28">
        <f>SUBTOTAL(109,GeeseLicencesIssued[Number of licences issued 2023])</f>
        <v>25</v>
      </c>
      <c r="G9" s="28" t="s">
        <v>160</v>
      </c>
      <c r="H9" s="26" t="s">
        <v>185</v>
      </c>
    </row>
    <row r="10" spans="1:8" ht="46" customHeight="1" x14ac:dyDescent="0.35">
      <c r="A10" s="34" t="s">
        <v>80</v>
      </c>
      <c r="B10" s="90" t="s">
        <v>81</v>
      </c>
      <c r="C10" s="90"/>
      <c r="D10" s="90"/>
      <c r="E10" s="90"/>
      <c r="F10" s="90"/>
    </row>
    <row r="11" spans="1:8" ht="57.5" customHeight="1" x14ac:dyDescent="0.35">
      <c r="A11" s="35" t="s">
        <v>83</v>
      </c>
      <c r="B11" s="88" t="s">
        <v>82</v>
      </c>
      <c r="C11" s="88"/>
      <c r="D11" s="88"/>
      <c r="E11" s="88"/>
      <c r="F11" s="88"/>
      <c r="G11" s="88"/>
    </row>
    <row r="12" spans="1:8" x14ac:dyDescent="0.35">
      <c r="A12" s="35"/>
      <c r="B12" s="20"/>
      <c r="C12" s="20"/>
      <c r="D12" s="20"/>
      <c r="E12" s="20"/>
      <c r="F12" s="20"/>
      <c r="G12" s="20"/>
    </row>
    <row r="14" spans="1:8" x14ac:dyDescent="0.35">
      <c r="A14" s="21" t="s">
        <v>47</v>
      </c>
    </row>
    <row r="15" spans="1:8" ht="72.5" x14ac:dyDescent="0.35">
      <c r="A15" s="42" t="s">
        <v>10</v>
      </c>
      <c r="B15" s="40" t="s">
        <v>41</v>
      </c>
      <c r="C15" s="40" t="s">
        <v>42</v>
      </c>
      <c r="D15" s="40" t="s">
        <v>43</v>
      </c>
      <c r="E15" s="40" t="s">
        <v>44</v>
      </c>
      <c r="F15" s="40" t="s">
        <v>45</v>
      </c>
      <c r="G15" s="39" t="s">
        <v>152</v>
      </c>
      <c r="H15" s="39" t="s">
        <v>176</v>
      </c>
    </row>
    <row r="16" spans="1:8" x14ac:dyDescent="0.35">
      <c r="A16" s="8" t="s">
        <v>78</v>
      </c>
      <c r="B16" s="25">
        <v>1113</v>
      </c>
      <c r="C16" s="25">
        <v>1515</v>
      </c>
      <c r="D16" s="25">
        <v>1878</v>
      </c>
      <c r="E16" s="25">
        <v>243</v>
      </c>
      <c r="F16" s="46">
        <v>260</v>
      </c>
      <c r="G16" s="25">
        <v>60</v>
      </c>
      <c r="H16" s="43">
        <v>290</v>
      </c>
    </row>
    <row r="17" spans="1:8" x14ac:dyDescent="0.35">
      <c r="A17" s="8" t="s">
        <v>11</v>
      </c>
      <c r="B17" s="25" t="s">
        <v>64</v>
      </c>
      <c r="C17" s="25">
        <v>100</v>
      </c>
      <c r="D17" s="25">
        <v>100</v>
      </c>
      <c r="E17" s="25" t="s">
        <v>64</v>
      </c>
      <c r="F17" s="46" t="s">
        <v>64</v>
      </c>
      <c r="G17" s="25" t="s">
        <v>64</v>
      </c>
      <c r="H17" s="25" t="s">
        <v>64</v>
      </c>
    </row>
    <row r="18" spans="1:8" x14ac:dyDescent="0.35">
      <c r="A18" s="8" t="s">
        <v>14</v>
      </c>
      <c r="B18" s="25">
        <v>2170</v>
      </c>
      <c r="C18" s="25">
        <v>7203</v>
      </c>
      <c r="D18" s="25">
        <v>20</v>
      </c>
      <c r="E18" s="25">
        <v>35</v>
      </c>
      <c r="F18" s="46">
        <v>20</v>
      </c>
      <c r="G18" s="25">
        <v>5</v>
      </c>
      <c r="H18" s="25">
        <v>10</v>
      </c>
    </row>
    <row r="19" spans="1:8" x14ac:dyDescent="0.35">
      <c r="A19" s="8" t="s">
        <v>79</v>
      </c>
      <c r="B19" s="25" t="s">
        <v>64</v>
      </c>
      <c r="C19" s="25">
        <v>405</v>
      </c>
      <c r="D19" s="25">
        <v>377</v>
      </c>
      <c r="E19" s="25">
        <v>325</v>
      </c>
      <c r="F19" s="46">
        <v>755</v>
      </c>
      <c r="G19" s="26">
        <v>540</v>
      </c>
      <c r="H19" s="26">
        <v>360</v>
      </c>
    </row>
    <row r="20" spans="1:8" x14ac:dyDescent="0.35">
      <c r="A20" s="12" t="s">
        <v>40</v>
      </c>
      <c r="B20" s="26">
        <f>SUBTOTAL(109,GeesePermittedNumbers[Number of individuals permitted to be killed 2019])</f>
        <v>3283</v>
      </c>
      <c r="C20" s="26">
        <f>SUBTOTAL(109,GeesePermittedNumbers[Number of individuals permitted to be killed 2020])</f>
        <v>9223</v>
      </c>
      <c r="D20" s="26">
        <f>SUBTOTAL(109,GeesePermittedNumbers[Number of individuals permitted to be killed 2021])</f>
        <v>2375</v>
      </c>
      <c r="E20" s="26">
        <f>SUBTOTAL(109,GeesePermittedNumbers[Number of individuals permitted to be killed 2022])</f>
        <v>603</v>
      </c>
      <c r="F20" s="28">
        <f>SUBTOTAL(109,GeesePermittedNumbers[Number of individuals permitted to be killed 2023])</f>
        <v>1035</v>
      </c>
      <c r="G20" s="28">
        <f>SUBTOTAL(109,GeesePermittedNumbers[Number of individuals permitted to be killed 2024])</f>
        <v>605</v>
      </c>
      <c r="H20" s="26">
        <f>SUBTOTAL(109,GeesePermittedNumbers[Number of individuals permitted to be killed 2025])</f>
        <v>660</v>
      </c>
    </row>
    <row r="23" spans="1:8" x14ac:dyDescent="0.35">
      <c r="A23" s="21" t="s">
        <v>53</v>
      </c>
    </row>
    <row r="24" spans="1:8" ht="101.5" x14ac:dyDescent="0.35">
      <c r="A24" s="29" t="s">
        <v>10</v>
      </c>
      <c r="B24" s="40" t="s">
        <v>48</v>
      </c>
      <c r="C24" s="40" t="s">
        <v>49</v>
      </c>
      <c r="D24" s="40" t="s">
        <v>50</v>
      </c>
      <c r="E24" s="40" t="s">
        <v>51</v>
      </c>
      <c r="F24" s="40" t="s">
        <v>52</v>
      </c>
      <c r="G24" s="39" t="s">
        <v>153</v>
      </c>
      <c r="H24" s="39" t="s">
        <v>177</v>
      </c>
    </row>
    <row r="25" spans="1:8" x14ac:dyDescent="0.35">
      <c r="A25" s="8" t="s">
        <v>78</v>
      </c>
      <c r="B25" s="25">
        <v>969</v>
      </c>
      <c r="C25" s="25">
        <v>1074</v>
      </c>
      <c r="D25" s="25">
        <v>618</v>
      </c>
      <c r="E25" s="25">
        <v>58</v>
      </c>
      <c r="F25" s="46">
        <v>25</v>
      </c>
      <c r="G25" s="43">
        <v>90</v>
      </c>
      <c r="H25" s="54"/>
    </row>
    <row r="26" spans="1:8" x14ac:dyDescent="0.35">
      <c r="A26" s="8" t="s">
        <v>11</v>
      </c>
      <c r="B26" s="25" t="s">
        <v>64</v>
      </c>
      <c r="C26" s="25">
        <v>0</v>
      </c>
      <c r="D26" s="25">
        <v>0</v>
      </c>
      <c r="E26" s="25" t="s">
        <v>64</v>
      </c>
      <c r="F26" s="46" t="s">
        <v>64</v>
      </c>
      <c r="G26" s="25" t="s">
        <v>64</v>
      </c>
      <c r="H26" s="55"/>
    </row>
    <row r="27" spans="1:8" x14ac:dyDescent="0.35">
      <c r="A27" s="8" t="s">
        <v>14</v>
      </c>
      <c r="B27" s="25">
        <v>412</v>
      </c>
      <c r="C27" s="25">
        <v>828</v>
      </c>
      <c r="D27" s="25">
        <v>3</v>
      </c>
      <c r="E27" s="25">
        <v>0</v>
      </c>
      <c r="F27" s="46">
        <v>0</v>
      </c>
      <c r="G27" s="25">
        <v>14</v>
      </c>
      <c r="H27" s="55"/>
    </row>
    <row r="28" spans="1:8" x14ac:dyDescent="0.35">
      <c r="A28" s="8" t="s">
        <v>79</v>
      </c>
      <c r="B28" s="25" t="s">
        <v>64</v>
      </c>
      <c r="C28" s="25">
        <v>138</v>
      </c>
      <c r="D28" s="25">
        <v>178</v>
      </c>
      <c r="E28" s="25">
        <v>60</v>
      </c>
      <c r="F28" s="46">
        <v>347</v>
      </c>
      <c r="G28" s="26">
        <v>211</v>
      </c>
      <c r="H28" s="56"/>
    </row>
    <row r="29" spans="1:8" x14ac:dyDescent="0.35">
      <c r="A29" s="12" t="s">
        <v>40</v>
      </c>
      <c r="B29" s="26">
        <f>SUBTOTAL(109,GeeseNumbersTaken[Number of individuals taken reported on licence return 2019])</f>
        <v>1381</v>
      </c>
      <c r="C29" s="26">
        <f>SUBTOTAL(109,GeeseNumbersTaken[Number of individuals taken reported on licence return 2020])</f>
        <v>2040</v>
      </c>
      <c r="D29" s="26">
        <f>SUBTOTAL(109,GeeseNumbersTaken[Number of individuals taken reported on licence return 2021])</f>
        <v>799</v>
      </c>
      <c r="E29" s="26">
        <f>SUBTOTAL(109,GeeseNumbersTaken[Number of individuals taken reported on licence return 2022])</f>
        <v>118</v>
      </c>
      <c r="F29" s="28">
        <f>SUBTOTAL(109,GeeseNumbersTaken[Number of individuals taken reported on licence return 2023])</f>
        <v>372</v>
      </c>
      <c r="G29" s="28">
        <f>SUBTOTAL(109,GeeseNumbersTaken[Number of individuals taken reported on licence return 2024])</f>
        <v>315</v>
      </c>
      <c r="H29" s="56"/>
    </row>
    <row r="30" spans="1:8" x14ac:dyDescent="0.35">
      <c r="A30" s="2"/>
      <c r="B30" s="2"/>
      <c r="C30" s="2"/>
      <c r="D30" s="2"/>
      <c r="E30" s="2"/>
      <c r="F30" s="2"/>
    </row>
  </sheetData>
  <mergeCells count="2">
    <mergeCell ref="B10:F10"/>
    <mergeCell ref="B11:G11"/>
  </mergeCells>
  <phoneticPr fontId="10" type="noConversion"/>
  <hyperlinks>
    <hyperlink ref="A10" r:id="rId1" xr:uid="{00000000-0004-0000-0500-000000000000}"/>
    <hyperlink ref="A11" r:id="rId2" xr:uid="{00000000-0004-0000-0500-000001000000}"/>
  </hyperlinks>
  <pageMargins left="0.7" right="0.7" top="0.75" bottom="0.75" header="0.3" footer="0.3"/>
  <pageSetup paperSize="9" orientation="portrait"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3"/>
  <sheetViews>
    <sheetView topLeftCell="C1" zoomScaleNormal="100" workbookViewId="0">
      <selection activeCell="G5" sqref="G5:G10"/>
    </sheetView>
  </sheetViews>
  <sheetFormatPr defaultRowHeight="14.5" x14ac:dyDescent="0.35"/>
  <cols>
    <col min="1" max="1" width="15.54296875" style="2" customWidth="1"/>
    <col min="2" max="2" width="11" customWidth="1"/>
    <col min="3" max="6" width="10.54296875" customWidth="1"/>
    <col min="7" max="8" width="11.08984375" customWidth="1"/>
    <col min="10" max="10" width="8.7265625" customWidth="1"/>
    <col min="11" max="11" width="10.26953125" customWidth="1"/>
    <col min="12" max="15" width="10.54296875" customWidth="1"/>
    <col min="16" max="16" width="11.36328125" customWidth="1"/>
    <col min="17" max="18" width="10.6328125" customWidth="1"/>
  </cols>
  <sheetData>
    <row r="1" spans="1:18" x14ac:dyDescent="0.35">
      <c r="A1" s="6" t="s">
        <v>66</v>
      </c>
    </row>
    <row r="3" spans="1:18" x14ac:dyDescent="0.35">
      <c r="A3" s="21" t="s">
        <v>67</v>
      </c>
      <c r="K3" s="21" t="s">
        <v>70</v>
      </c>
    </row>
    <row r="4" spans="1:18" ht="43.5" x14ac:dyDescent="0.35">
      <c r="A4" s="33" t="s">
        <v>10</v>
      </c>
      <c r="B4" s="39" t="s">
        <v>35</v>
      </c>
      <c r="C4" s="39" t="s">
        <v>36</v>
      </c>
      <c r="D4" s="39" t="s">
        <v>37</v>
      </c>
      <c r="E4" s="39" t="s">
        <v>38</v>
      </c>
      <c r="F4" s="39" t="s">
        <v>39</v>
      </c>
      <c r="G4" s="40" t="s">
        <v>151</v>
      </c>
      <c r="H4" s="39" t="s">
        <v>175</v>
      </c>
      <c r="K4" s="33" t="s">
        <v>10</v>
      </c>
      <c r="L4" s="39" t="s">
        <v>35</v>
      </c>
      <c r="M4" s="39" t="s">
        <v>36</v>
      </c>
      <c r="N4" s="39" t="s">
        <v>37</v>
      </c>
      <c r="O4" s="39" t="s">
        <v>38</v>
      </c>
      <c r="P4" s="39" t="s">
        <v>39</v>
      </c>
      <c r="Q4" s="40" t="s">
        <v>151</v>
      </c>
      <c r="R4" s="39" t="s">
        <v>175</v>
      </c>
    </row>
    <row r="5" spans="1:18" ht="43.5" x14ac:dyDescent="0.35">
      <c r="A5" s="30" t="s">
        <v>68</v>
      </c>
      <c r="B5" s="7">
        <v>0</v>
      </c>
      <c r="C5" s="7">
        <v>3</v>
      </c>
      <c r="D5" s="7">
        <v>1</v>
      </c>
      <c r="E5" s="7">
        <v>1</v>
      </c>
      <c r="F5" s="47">
        <v>1</v>
      </c>
      <c r="G5" s="44">
        <v>0</v>
      </c>
      <c r="H5" s="44">
        <v>0</v>
      </c>
      <c r="K5" s="30" t="s">
        <v>68</v>
      </c>
      <c r="L5" s="7">
        <v>0</v>
      </c>
      <c r="M5" s="7">
        <v>2</v>
      </c>
      <c r="N5" s="7">
        <v>0</v>
      </c>
      <c r="O5" s="7">
        <v>0</v>
      </c>
      <c r="P5" s="47">
        <v>0</v>
      </c>
      <c r="Q5" s="44">
        <v>0</v>
      </c>
      <c r="R5" s="44">
        <v>0</v>
      </c>
    </row>
    <row r="6" spans="1:18" ht="29" x14ac:dyDescent="0.35">
      <c r="A6" s="30" t="s">
        <v>23</v>
      </c>
      <c r="B6" s="7">
        <v>2</v>
      </c>
      <c r="C6" s="7">
        <v>9</v>
      </c>
      <c r="D6" s="7">
        <v>1</v>
      </c>
      <c r="E6" s="7">
        <v>4</v>
      </c>
      <c r="F6" s="47">
        <v>2</v>
      </c>
      <c r="G6" s="7">
        <v>0</v>
      </c>
      <c r="H6" s="7">
        <v>1</v>
      </c>
      <c r="K6" s="30" t="s">
        <v>23</v>
      </c>
      <c r="L6" s="7">
        <v>2</v>
      </c>
      <c r="M6" s="7">
        <v>8</v>
      </c>
      <c r="N6" s="7">
        <v>3</v>
      </c>
      <c r="O6" s="7">
        <v>11</v>
      </c>
      <c r="P6" s="47">
        <v>0</v>
      </c>
      <c r="Q6" s="7">
        <v>0</v>
      </c>
      <c r="R6" s="7">
        <v>0</v>
      </c>
    </row>
    <row r="7" spans="1:18" ht="29" x14ac:dyDescent="0.35">
      <c r="A7" s="30" t="s">
        <v>25</v>
      </c>
      <c r="B7" s="7">
        <v>0</v>
      </c>
      <c r="C7" s="7">
        <v>23</v>
      </c>
      <c r="D7" s="7">
        <v>12</v>
      </c>
      <c r="E7" s="7">
        <v>15</v>
      </c>
      <c r="F7" s="47">
        <v>6</v>
      </c>
      <c r="G7" s="7">
        <v>2</v>
      </c>
      <c r="H7" s="7">
        <v>3</v>
      </c>
      <c r="K7" s="30" t="s">
        <v>25</v>
      </c>
      <c r="L7" s="7">
        <v>0</v>
      </c>
      <c r="M7" s="7">
        <v>36</v>
      </c>
      <c r="N7" s="7">
        <v>3</v>
      </c>
      <c r="O7" s="7">
        <v>13</v>
      </c>
      <c r="P7" s="47">
        <v>0</v>
      </c>
      <c r="Q7" s="7">
        <v>0</v>
      </c>
      <c r="R7" s="7">
        <v>0</v>
      </c>
    </row>
    <row r="8" spans="1:18" ht="58" x14ac:dyDescent="0.35">
      <c r="A8" s="30" t="s">
        <v>27</v>
      </c>
      <c r="B8" s="7">
        <v>0</v>
      </c>
      <c r="C8" s="7">
        <v>14</v>
      </c>
      <c r="D8" s="7">
        <v>7</v>
      </c>
      <c r="E8" s="7">
        <v>8</v>
      </c>
      <c r="F8" s="47">
        <v>4</v>
      </c>
      <c r="G8" s="7">
        <v>0</v>
      </c>
      <c r="H8" s="7">
        <v>1</v>
      </c>
      <c r="K8" s="30" t="s">
        <v>27</v>
      </c>
      <c r="L8" s="7">
        <v>0</v>
      </c>
      <c r="M8" s="7">
        <v>13</v>
      </c>
      <c r="N8" s="7">
        <v>1</v>
      </c>
      <c r="O8" s="7">
        <v>6</v>
      </c>
      <c r="P8" s="47">
        <v>0</v>
      </c>
      <c r="Q8" s="7">
        <v>0</v>
      </c>
      <c r="R8" s="7">
        <v>0</v>
      </c>
    </row>
    <row r="9" spans="1:18" ht="43.5" x14ac:dyDescent="0.35">
      <c r="A9" s="30" t="s">
        <v>24</v>
      </c>
      <c r="B9" s="7">
        <v>0</v>
      </c>
      <c r="C9" s="7">
        <v>23</v>
      </c>
      <c r="D9" s="7">
        <v>14</v>
      </c>
      <c r="E9" s="7">
        <v>16</v>
      </c>
      <c r="F9" s="47">
        <v>9</v>
      </c>
      <c r="G9" s="13">
        <v>7</v>
      </c>
      <c r="H9" s="13">
        <v>6</v>
      </c>
      <c r="K9" s="30" t="s">
        <v>24</v>
      </c>
      <c r="L9" s="7">
        <v>0</v>
      </c>
      <c r="M9" s="7">
        <v>5</v>
      </c>
      <c r="N9" s="7">
        <v>1</v>
      </c>
      <c r="O9" s="7">
        <v>2</v>
      </c>
      <c r="P9" s="47">
        <v>0</v>
      </c>
      <c r="Q9" s="13">
        <v>0</v>
      </c>
      <c r="R9" s="13">
        <v>0</v>
      </c>
    </row>
    <row r="10" spans="1:18" ht="43.5" x14ac:dyDescent="0.35">
      <c r="A10" s="32" t="s">
        <v>134</v>
      </c>
      <c r="B10" s="26">
        <f>SUBTOTAL(109,GullAdultLicencesIssed[Number of licences issued 2019])</f>
        <v>2</v>
      </c>
      <c r="C10" s="26" t="s">
        <v>139</v>
      </c>
      <c r="D10" s="26" t="s">
        <v>140</v>
      </c>
      <c r="E10" s="26" t="s">
        <v>141</v>
      </c>
      <c r="F10" s="28" t="s">
        <v>174</v>
      </c>
      <c r="G10" s="28" t="s">
        <v>165</v>
      </c>
      <c r="H10" s="26" t="s">
        <v>142</v>
      </c>
      <c r="K10" s="32" t="s">
        <v>134</v>
      </c>
      <c r="L10" s="26" t="s">
        <v>149</v>
      </c>
      <c r="M10" s="26" t="s">
        <v>143</v>
      </c>
      <c r="N10" s="26" t="s">
        <v>165</v>
      </c>
      <c r="O10" s="26" t="s">
        <v>141</v>
      </c>
      <c r="P10" s="28">
        <f>SUBTOTAL(109,GullChickLicencesIssued[Number of licences issued 2023])</f>
        <v>0</v>
      </c>
      <c r="Q10" s="28">
        <f>SUBTOTAL(109,GullChickLicencesIssued[Number of licences issued 2024])</f>
        <v>0</v>
      </c>
      <c r="R10" s="26" t="s">
        <v>187</v>
      </c>
    </row>
    <row r="11" spans="1:18" ht="44.15" customHeight="1" x14ac:dyDescent="0.35">
      <c r="A11" s="3" t="s">
        <v>69</v>
      </c>
      <c r="B11" s="88" t="s">
        <v>71</v>
      </c>
      <c r="C11" s="88"/>
      <c r="D11" s="88"/>
      <c r="E11" s="88"/>
      <c r="F11" s="88"/>
      <c r="G11" s="88"/>
      <c r="H11" s="88"/>
      <c r="I11" s="88"/>
      <c r="J11" s="88"/>
      <c r="K11" s="88"/>
      <c r="L11" s="88"/>
      <c r="M11" s="88"/>
      <c r="N11" s="88"/>
      <c r="O11" s="88"/>
    </row>
    <row r="12" spans="1:18" x14ac:dyDescent="0.35">
      <c r="B12" s="91" t="s">
        <v>72</v>
      </c>
      <c r="C12" s="91"/>
      <c r="D12" s="91"/>
      <c r="E12" s="91"/>
      <c r="F12" s="91"/>
      <c r="G12" s="91"/>
      <c r="H12" s="91"/>
      <c r="I12" s="91"/>
      <c r="J12" s="91"/>
      <c r="K12" s="91"/>
      <c r="L12" s="91"/>
      <c r="M12" s="91"/>
      <c r="N12" s="91"/>
      <c r="O12" s="91"/>
    </row>
    <row r="13" spans="1:18" x14ac:dyDescent="0.35">
      <c r="B13" s="37"/>
      <c r="C13" s="37"/>
      <c r="D13" s="37"/>
      <c r="E13" s="37"/>
      <c r="F13" s="37"/>
      <c r="G13" s="37"/>
      <c r="H13" s="37"/>
      <c r="I13" s="37"/>
      <c r="J13" s="37"/>
      <c r="K13" s="37"/>
      <c r="L13" s="37"/>
      <c r="M13" s="37"/>
      <c r="N13" s="37"/>
      <c r="O13" s="37"/>
    </row>
    <row r="15" spans="1:18" x14ac:dyDescent="0.35">
      <c r="A15" s="21" t="s">
        <v>73</v>
      </c>
      <c r="K15" s="21" t="s">
        <v>74</v>
      </c>
    </row>
    <row r="16" spans="1:18" ht="72.5" x14ac:dyDescent="0.35">
      <c r="A16" s="33" t="s">
        <v>10</v>
      </c>
      <c r="B16" s="40" t="s">
        <v>41</v>
      </c>
      <c r="C16" s="40" t="s">
        <v>42</v>
      </c>
      <c r="D16" s="40" t="s">
        <v>43</v>
      </c>
      <c r="E16" s="40" t="s">
        <v>44</v>
      </c>
      <c r="F16" s="40" t="s">
        <v>45</v>
      </c>
      <c r="G16" s="40" t="s">
        <v>152</v>
      </c>
      <c r="H16" s="31" t="s">
        <v>176</v>
      </c>
      <c r="K16" s="33" t="s">
        <v>10</v>
      </c>
      <c r="L16" s="40" t="s">
        <v>41</v>
      </c>
      <c r="M16" s="40" t="s">
        <v>42</v>
      </c>
      <c r="N16" s="40" t="s">
        <v>43</v>
      </c>
      <c r="O16" s="40" t="s">
        <v>44</v>
      </c>
      <c r="P16" s="40" t="s">
        <v>45</v>
      </c>
      <c r="Q16" s="40" t="s">
        <v>152</v>
      </c>
      <c r="R16" s="39" t="s">
        <v>176</v>
      </c>
    </row>
    <row r="17" spans="1:18" ht="43.5" x14ac:dyDescent="0.35">
      <c r="A17" s="30" t="s">
        <v>68</v>
      </c>
      <c r="B17" s="25" t="s">
        <v>64</v>
      </c>
      <c r="C17" s="7">
        <v>82</v>
      </c>
      <c r="D17" s="7">
        <v>6</v>
      </c>
      <c r="E17" s="7">
        <v>10</v>
      </c>
      <c r="F17" s="46">
        <v>10</v>
      </c>
      <c r="G17" s="43" t="s">
        <v>64</v>
      </c>
      <c r="H17" s="43" t="s">
        <v>64</v>
      </c>
      <c r="K17" s="30" t="s">
        <v>68</v>
      </c>
      <c r="L17" s="25" t="s">
        <v>64</v>
      </c>
      <c r="M17" s="25">
        <v>96</v>
      </c>
      <c r="N17" s="25" t="s">
        <v>64</v>
      </c>
      <c r="O17" s="25" t="s">
        <v>64</v>
      </c>
      <c r="P17" s="46" t="s">
        <v>64</v>
      </c>
      <c r="Q17" s="46" t="s">
        <v>64</v>
      </c>
      <c r="R17" s="46" t="s">
        <v>64</v>
      </c>
    </row>
    <row r="18" spans="1:18" ht="29" x14ac:dyDescent="0.35">
      <c r="A18" s="30" t="s">
        <v>23</v>
      </c>
      <c r="B18" s="7">
        <v>6</v>
      </c>
      <c r="C18" s="7">
        <v>430</v>
      </c>
      <c r="D18" s="7">
        <v>6</v>
      </c>
      <c r="E18" s="7">
        <v>36</v>
      </c>
      <c r="F18" s="46">
        <v>15</v>
      </c>
      <c r="G18" s="43" t="s">
        <v>64</v>
      </c>
      <c r="H18" s="43">
        <v>1</v>
      </c>
      <c r="K18" s="30" t="s">
        <v>23</v>
      </c>
      <c r="L18" s="25">
        <v>5</v>
      </c>
      <c r="M18" s="25">
        <v>214</v>
      </c>
      <c r="N18" s="25">
        <v>8</v>
      </c>
      <c r="O18" s="25">
        <v>35</v>
      </c>
      <c r="P18" s="46" t="s">
        <v>64</v>
      </c>
      <c r="Q18" s="46" t="s">
        <v>64</v>
      </c>
      <c r="R18" s="46" t="s">
        <v>64</v>
      </c>
    </row>
    <row r="19" spans="1:18" ht="29" x14ac:dyDescent="0.35">
      <c r="A19" s="30" t="s">
        <v>25</v>
      </c>
      <c r="B19" s="25" t="s">
        <v>64</v>
      </c>
      <c r="C19" s="7">
        <v>1311</v>
      </c>
      <c r="D19" s="7">
        <v>187</v>
      </c>
      <c r="E19" s="7">
        <v>94</v>
      </c>
      <c r="F19" s="47">
        <v>70</v>
      </c>
      <c r="G19" s="43">
        <v>8</v>
      </c>
      <c r="H19" s="43">
        <v>19</v>
      </c>
      <c r="K19" s="30" t="s">
        <v>25</v>
      </c>
      <c r="L19" s="25" t="s">
        <v>64</v>
      </c>
      <c r="M19" s="25">
        <v>1089</v>
      </c>
      <c r="N19" s="25">
        <v>24</v>
      </c>
      <c r="O19" s="25">
        <v>70</v>
      </c>
      <c r="P19" s="46" t="s">
        <v>64</v>
      </c>
      <c r="Q19" s="25" t="s">
        <v>64</v>
      </c>
      <c r="R19" s="46" t="s">
        <v>64</v>
      </c>
    </row>
    <row r="20" spans="1:18" ht="58" x14ac:dyDescent="0.35">
      <c r="A20" s="30" t="s">
        <v>27</v>
      </c>
      <c r="B20" s="25" t="s">
        <v>64</v>
      </c>
      <c r="C20" s="7">
        <v>495</v>
      </c>
      <c r="D20" s="7">
        <v>113</v>
      </c>
      <c r="E20" s="7">
        <v>37</v>
      </c>
      <c r="F20" s="47">
        <v>30</v>
      </c>
      <c r="G20" s="43" t="s">
        <v>64</v>
      </c>
      <c r="H20" s="43">
        <v>10</v>
      </c>
      <c r="K20" s="30" t="s">
        <v>27</v>
      </c>
      <c r="L20" s="25" t="s">
        <v>64</v>
      </c>
      <c r="M20" s="25">
        <v>649</v>
      </c>
      <c r="N20" s="25">
        <v>3</v>
      </c>
      <c r="O20" s="25">
        <v>39</v>
      </c>
      <c r="P20" s="46" t="s">
        <v>64</v>
      </c>
      <c r="Q20" s="46" t="s">
        <v>64</v>
      </c>
      <c r="R20" s="46" t="s">
        <v>64</v>
      </c>
    </row>
    <row r="21" spans="1:18" ht="43.5" x14ac:dyDescent="0.35">
      <c r="A21" s="32" t="s">
        <v>24</v>
      </c>
      <c r="B21" s="26" t="s">
        <v>64</v>
      </c>
      <c r="C21" s="13">
        <v>252</v>
      </c>
      <c r="D21" s="13">
        <v>122</v>
      </c>
      <c r="E21" s="13">
        <v>48</v>
      </c>
      <c r="F21" s="14">
        <v>76</v>
      </c>
      <c r="G21" s="43">
        <v>65</v>
      </c>
      <c r="H21" s="43">
        <v>25</v>
      </c>
      <c r="K21" s="32" t="s">
        <v>24</v>
      </c>
      <c r="L21" s="26" t="s">
        <v>64</v>
      </c>
      <c r="M21" s="26">
        <v>81</v>
      </c>
      <c r="N21" s="26">
        <v>8</v>
      </c>
      <c r="O21" s="26">
        <v>2</v>
      </c>
      <c r="P21" s="28" t="s">
        <v>64</v>
      </c>
      <c r="Q21" s="28" t="s">
        <v>64</v>
      </c>
      <c r="R21" s="46" t="s">
        <v>64</v>
      </c>
    </row>
    <row r="22" spans="1:18" x14ac:dyDescent="0.35">
      <c r="A22" s="32" t="s">
        <v>40</v>
      </c>
      <c r="B22" s="13">
        <f>SUBTOTAL(109,GullAdultPermittedNumbers[Number of individuals permitted to be killed 2019])</f>
        <v>6</v>
      </c>
      <c r="C22" s="13">
        <f>SUBTOTAL(109,GullAdultPermittedNumbers[Number of individuals permitted to be killed 2020])</f>
        <v>2570</v>
      </c>
      <c r="D22" s="13">
        <f>SUBTOTAL(109,GullAdultPermittedNumbers[Number of individuals permitted to be killed 2021])</f>
        <v>434</v>
      </c>
      <c r="E22" s="13">
        <f>SUBTOTAL(109,GullAdultPermittedNumbers[Number of individuals permitted to be killed 2022])</f>
        <v>225</v>
      </c>
      <c r="F22" s="14">
        <f>SUBTOTAL(109,GullAdultPermittedNumbers[Number of individuals permitted to be killed 2023])</f>
        <v>201</v>
      </c>
      <c r="G22" s="14">
        <f>SUBTOTAL(109,GullAdultPermittedNumbers[Number of individuals permitted to be killed 2024])</f>
        <v>73</v>
      </c>
      <c r="H22" s="13">
        <f>SUBTOTAL(109,GullAdultPermittedNumbers[Number of individuals permitted to be killed 2025])</f>
        <v>55</v>
      </c>
      <c r="K22" s="32" t="s">
        <v>40</v>
      </c>
      <c r="L22" s="26">
        <f>SUBTOTAL(109,GullChickPermittedNumbers[Number of individuals permitted to be killed 2019])</f>
        <v>5</v>
      </c>
      <c r="M22" s="26">
        <f>SUBTOTAL(109,GullChickPermittedNumbers[Number of individuals permitted to be killed 2020])</f>
        <v>2129</v>
      </c>
      <c r="N22" s="26">
        <f>SUBTOTAL(109,GullChickPermittedNumbers[Number of individuals permitted to be killed 2021])</f>
        <v>43</v>
      </c>
      <c r="O22" s="26">
        <f>SUBTOTAL(109,GullChickPermittedNumbers[Number of individuals permitted to be killed 2022])</f>
        <v>146</v>
      </c>
      <c r="P22" s="28">
        <f>SUBTOTAL(109,GullChickPermittedNumbers[Number of individuals permitted to be killed 2023])</f>
        <v>0</v>
      </c>
      <c r="Q22" s="28">
        <f>SUBTOTAL(109,GullChickPermittedNumbers[Number of individuals permitted to be killed 2024])</f>
        <v>0</v>
      </c>
      <c r="R22" s="26">
        <f>SUBTOTAL(109,GullChickPermittedNumbers[Species])</f>
        <v>0</v>
      </c>
    </row>
    <row r="25" spans="1:18" x14ac:dyDescent="0.35">
      <c r="A25" s="21" t="s">
        <v>75</v>
      </c>
      <c r="K25" s="21" t="s">
        <v>76</v>
      </c>
    </row>
    <row r="26" spans="1:18" ht="101.5" x14ac:dyDescent="0.35">
      <c r="A26" s="33" t="s">
        <v>10</v>
      </c>
      <c r="B26" s="40" t="s">
        <v>48</v>
      </c>
      <c r="C26" s="40" t="s">
        <v>49</v>
      </c>
      <c r="D26" s="40" t="s">
        <v>50</v>
      </c>
      <c r="E26" s="40" t="s">
        <v>51</v>
      </c>
      <c r="F26" s="40" t="s">
        <v>52</v>
      </c>
      <c r="G26" s="40" t="s">
        <v>153</v>
      </c>
      <c r="H26" s="39" t="s">
        <v>177</v>
      </c>
      <c r="K26" s="33" t="s">
        <v>10</v>
      </c>
      <c r="L26" s="40" t="s">
        <v>48</v>
      </c>
      <c r="M26" s="40" t="s">
        <v>49</v>
      </c>
      <c r="N26" s="40" t="s">
        <v>50</v>
      </c>
      <c r="O26" s="40" t="s">
        <v>51</v>
      </c>
      <c r="P26" s="40" t="s">
        <v>52</v>
      </c>
      <c r="Q26" s="40" t="s">
        <v>153</v>
      </c>
      <c r="R26" s="39" t="s">
        <v>177</v>
      </c>
    </row>
    <row r="27" spans="1:18" ht="43.5" x14ac:dyDescent="0.35">
      <c r="A27" s="30" t="s">
        <v>68</v>
      </c>
      <c r="B27" s="25" t="s">
        <v>64</v>
      </c>
      <c r="C27" s="25">
        <v>2</v>
      </c>
      <c r="D27" s="25">
        <v>0</v>
      </c>
      <c r="E27" s="25">
        <v>2</v>
      </c>
      <c r="F27" s="46">
        <v>0</v>
      </c>
      <c r="G27" s="43" t="s">
        <v>64</v>
      </c>
      <c r="H27" s="54"/>
      <c r="K27" s="30" t="s">
        <v>68</v>
      </c>
      <c r="L27" s="25" t="s">
        <v>64</v>
      </c>
      <c r="M27" s="25">
        <v>0</v>
      </c>
      <c r="N27" s="25" t="s">
        <v>64</v>
      </c>
      <c r="O27" s="25" t="s">
        <v>64</v>
      </c>
      <c r="P27" s="46" t="s">
        <v>64</v>
      </c>
      <c r="Q27" s="46" t="s">
        <v>64</v>
      </c>
      <c r="R27" s="54"/>
    </row>
    <row r="28" spans="1:18" ht="29" x14ac:dyDescent="0.35">
      <c r="A28" s="30" t="s">
        <v>23</v>
      </c>
      <c r="B28" s="25">
        <v>10</v>
      </c>
      <c r="C28" s="25">
        <v>71</v>
      </c>
      <c r="D28" s="25">
        <v>0</v>
      </c>
      <c r="E28" s="25">
        <v>20</v>
      </c>
      <c r="F28" s="46">
        <v>0</v>
      </c>
      <c r="G28" s="43" t="s">
        <v>64</v>
      </c>
      <c r="H28" s="55"/>
      <c r="K28" s="30" t="s">
        <v>23</v>
      </c>
      <c r="L28" s="25">
        <v>7</v>
      </c>
      <c r="M28" s="25">
        <v>33</v>
      </c>
      <c r="N28" s="25">
        <v>6</v>
      </c>
      <c r="O28" s="25">
        <v>10</v>
      </c>
      <c r="P28" s="46" t="s">
        <v>64</v>
      </c>
      <c r="Q28" s="46" t="s">
        <v>64</v>
      </c>
      <c r="R28" s="55"/>
    </row>
    <row r="29" spans="1:18" ht="29" x14ac:dyDescent="0.35">
      <c r="A29" s="30" t="s">
        <v>25</v>
      </c>
      <c r="B29" s="25" t="s">
        <v>64</v>
      </c>
      <c r="C29" s="25">
        <v>426</v>
      </c>
      <c r="D29" s="25">
        <v>71</v>
      </c>
      <c r="E29" s="25">
        <v>15</v>
      </c>
      <c r="F29" s="46">
        <v>0</v>
      </c>
      <c r="G29" s="43" t="s">
        <v>64</v>
      </c>
      <c r="H29" s="55"/>
      <c r="K29" s="30" t="s">
        <v>25</v>
      </c>
      <c r="L29" s="25" t="s">
        <v>64</v>
      </c>
      <c r="M29" s="25">
        <v>159</v>
      </c>
      <c r="N29" s="25">
        <v>5</v>
      </c>
      <c r="O29" s="25">
        <v>35</v>
      </c>
      <c r="P29" s="46" t="s">
        <v>64</v>
      </c>
      <c r="Q29" s="69" t="s">
        <v>64</v>
      </c>
      <c r="R29" s="55"/>
    </row>
    <row r="30" spans="1:18" ht="58" x14ac:dyDescent="0.35">
      <c r="A30" s="30" t="s">
        <v>27</v>
      </c>
      <c r="B30" s="25" t="s">
        <v>64</v>
      </c>
      <c r="C30" s="25">
        <v>121</v>
      </c>
      <c r="D30" s="25">
        <v>32</v>
      </c>
      <c r="E30" s="25">
        <v>2</v>
      </c>
      <c r="F30" s="46">
        <v>22</v>
      </c>
      <c r="G30" s="43" t="s">
        <v>64</v>
      </c>
      <c r="H30" s="55"/>
      <c r="K30" s="30" t="s">
        <v>27</v>
      </c>
      <c r="L30" s="25" t="s">
        <v>64</v>
      </c>
      <c r="M30" s="25">
        <v>28</v>
      </c>
      <c r="N30" s="25">
        <v>3</v>
      </c>
      <c r="O30" s="25">
        <v>12</v>
      </c>
      <c r="P30" s="46" t="s">
        <v>64</v>
      </c>
      <c r="Q30" s="70" t="s">
        <v>64</v>
      </c>
      <c r="R30" s="55"/>
    </row>
    <row r="31" spans="1:18" ht="43.5" x14ac:dyDescent="0.35">
      <c r="A31" s="32" t="s">
        <v>24</v>
      </c>
      <c r="B31" s="26" t="s">
        <v>64</v>
      </c>
      <c r="C31" s="26">
        <v>97</v>
      </c>
      <c r="D31" s="26">
        <v>61</v>
      </c>
      <c r="E31" s="26">
        <v>39</v>
      </c>
      <c r="F31" s="28">
        <v>61</v>
      </c>
      <c r="G31" s="43" t="s">
        <v>64</v>
      </c>
      <c r="H31" s="56"/>
      <c r="K31" s="30" t="s">
        <v>24</v>
      </c>
      <c r="L31" s="25" t="s">
        <v>64</v>
      </c>
      <c r="M31" s="25">
        <v>12</v>
      </c>
      <c r="N31" s="25">
        <v>5</v>
      </c>
      <c r="O31" s="25">
        <v>15</v>
      </c>
      <c r="P31" s="46" t="s">
        <v>64</v>
      </c>
      <c r="Q31" s="70" t="s">
        <v>64</v>
      </c>
      <c r="R31" s="56"/>
    </row>
    <row r="32" spans="1:18" x14ac:dyDescent="0.35">
      <c r="A32" s="32" t="s">
        <v>40</v>
      </c>
      <c r="B32" s="26">
        <f>SUBTOTAL(109,GullAdultNumbersTaken[Number of individuals taken reported on licence return 2019])</f>
        <v>10</v>
      </c>
      <c r="C32" s="26">
        <f>SUBTOTAL(109,GullAdultNumbersTaken[Number of individuals taken reported on licence return 2020])</f>
        <v>717</v>
      </c>
      <c r="D32" s="26">
        <f>SUBTOTAL(109,GullAdultNumbersTaken[Number of individuals taken reported on licence return 2021])</f>
        <v>164</v>
      </c>
      <c r="E32" s="26">
        <f>SUBTOTAL(109,GullAdultNumbersTaken[Number of individuals taken reported on licence return 2022])</f>
        <v>78</v>
      </c>
      <c r="F32" s="28">
        <f>SUBTOTAL(109,GullAdultNumbersTaken[Number of individuals taken reported on licence return 2023])</f>
        <v>83</v>
      </c>
      <c r="G32" s="28">
        <f>SUBTOTAL(109,GullAdultNumbersTaken[Number of individuals taken reported on licence return 2024])</f>
        <v>0</v>
      </c>
      <c r="H32" s="56"/>
      <c r="K32" s="32" t="s">
        <v>40</v>
      </c>
      <c r="L32" s="13">
        <f>SUBTOTAL(109,GullChickNumbersTaken[Number of individuals taken reported on licence return 2019])</f>
        <v>7</v>
      </c>
      <c r="M32" s="13">
        <f>SUBTOTAL(109,GullChickNumbersTaken[Number of individuals taken reported on licence return 2020])</f>
        <v>232</v>
      </c>
      <c r="N32" s="13">
        <f>SUBTOTAL(109,GullChickNumbersTaken[Number of individuals taken reported on licence return 2021])</f>
        <v>19</v>
      </c>
      <c r="O32" s="13">
        <f>SUBTOTAL(109,GullChickNumbersTaken[Number of individuals taken reported on licence return 2022])</f>
        <v>72</v>
      </c>
      <c r="P32" s="14">
        <f>SUBTOTAL(109,GullChickNumbersTaken[Number of individuals taken reported on licence return 2023])</f>
        <v>0</v>
      </c>
      <c r="Q32" s="71">
        <f>SUBTOTAL(109,GullChickNumbersTaken[Number of individuals taken reported on licence return 2024])</f>
        <v>0</v>
      </c>
      <c r="R32" s="57"/>
    </row>
    <row r="33" spans="2:6" x14ac:dyDescent="0.35">
      <c r="B33" s="2"/>
      <c r="C33" s="2"/>
      <c r="D33" s="2"/>
      <c r="E33" s="2"/>
      <c r="F33" s="2"/>
    </row>
  </sheetData>
  <mergeCells count="2">
    <mergeCell ref="B11:O11"/>
    <mergeCell ref="B12:O12"/>
  </mergeCells>
  <phoneticPr fontId="10" type="noConversion"/>
  <hyperlinks>
    <hyperlink ref="B12:O12" r:id="rId1" location=":~:text=Changes%20to%20gull%20public%20health,public%20health%20or%20safety%20issues." display="Changes to gull public health or safety licences - August 2021" xr:uid="{00000000-0004-0000-0600-000000000000}"/>
  </hyperlinks>
  <pageMargins left="0.7" right="0.7" top="0.75" bottom="0.75" header="0.3" footer="0.3"/>
  <pageSetup paperSize="9" orientation="portrait" r:id="rId2"/>
  <tableParts count="6">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topLeftCell="A15" workbookViewId="0">
      <selection activeCell="G12" sqref="G12:G14"/>
    </sheetView>
  </sheetViews>
  <sheetFormatPr defaultRowHeight="14.5" x14ac:dyDescent="0.35"/>
  <cols>
    <col min="1" max="1" width="15.81640625" customWidth="1"/>
    <col min="2" max="2" width="10" customWidth="1"/>
    <col min="3" max="6" width="10.26953125" customWidth="1"/>
    <col min="7" max="7" width="10.36328125" customWidth="1"/>
    <col min="8" max="8" width="10.26953125" customWidth="1"/>
  </cols>
  <sheetData>
    <row r="1" spans="1:8" x14ac:dyDescent="0.35">
      <c r="A1" s="36" t="s">
        <v>90</v>
      </c>
    </row>
    <row r="3" spans="1:8" x14ac:dyDescent="0.35">
      <c r="A3" s="21" t="s">
        <v>46</v>
      </c>
    </row>
    <row r="4" spans="1:8" ht="58" x14ac:dyDescent="0.35">
      <c r="A4" s="16" t="s">
        <v>10</v>
      </c>
      <c r="B4" s="39" t="s">
        <v>35</v>
      </c>
      <c r="C4" s="39" t="s">
        <v>36</v>
      </c>
      <c r="D4" s="39" t="s">
        <v>37</v>
      </c>
      <c r="E4" s="39" t="s">
        <v>38</v>
      </c>
      <c r="F4" s="39" t="s">
        <v>39</v>
      </c>
      <c r="G4" s="39" t="s">
        <v>151</v>
      </c>
      <c r="H4" s="39" t="s">
        <v>175</v>
      </c>
    </row>
    <row r="5" spans="1:8" x14ac:dyDescent="0.35">
      <c r="A5" s="8" t="s">
        <v>93</v>
      </c>
      <c r="B5" s="7">
        <v>8</v>
      </c>
      <c r="C5" s="7">
        <v>42</v>
      </c>
      <c r="D5" s="7">
        <v>59</v>
      </c>
      <c r="E5" s="7">
        <v>43</v>
      </c>
      <c r="F5" s="47">
        <v>48</v>
      </c>
      <c r="G5" s="44">
        <v>75</v>
      </c>
      <c r="H5" s="44">
        <v>76</v>
      </c>
    </row>
    <row r="6" spans="1:8" x14ac:dyDescent="0.35">
      <c r="A6" s="8" t="s">
        <v>91</v>
      </c>
      <c r="B6" s="7">
        <v>1</v>
      </c>
      <c r="C6" s="7">
        <v>5</v>
      </c>
      <c r="D6" s="7">
        <v>42</v>
      </c>
      <c r="E6" s="7">
        <v>21</v>
      </c>
      <c r="F6" s="47">
        <v>29</v>
      </c>
      <c r="G6" s="13">
        <v>21</v>
      </c>
      <c r="H6" s="13">
        <v>22</v>
      </c>
    </row>
    <row r="7" spans="1:8" ht="29" x14ac:dyDescent="0.35">
      <c r="A7" s="32" t="s">
        <v>134</v>
      </c>
      <c r="B7" s="26" t="s">
        <v>142</v>
      </c>
      <c r="C7" s="26" t="s">
        <v>143</v>
      </c>
      <c r="D7" s="26" t="s">
        <v>166</v>
      </c>
      <c r="E7" s="26">
        <f>SUBTOTAL(109,HareLicencesIssued[Number of licences issued 2022])</f>
        <v>64</v>
      </c>
      <c r="F7" s="28">
        <f>SUBTOTAL(109,HareLicencesIssued[Number of licences issued 2023])</f>
        <v>77</v>
      </c>
      <c r="G7" s="28">
        <f>SUM(HareLicencesIssued[Number of licences issued 2024])</f>
        <v>96</v>
      </c>
      <c r="H7" s="26" t="s">
        <v>204</v>
      </c>
    </row>
    <row r="10" spans="1:8" x14ac:dyDescent="0.35">
      <c r="A10" s="21" t="s">
        <v>47</v>
      </c>
    </row>
    <row r="11" spans="1:8" ht="72.5" x14ac:dyDescent="0.35">
      <c r="A11" s="16" t="s">
        <v>10</v>
      </c>
      <c r="B11" s="40" t="s">
        <v>41</v>
      </c>
      <c r="C11" s="40" t="s">
        <v>42</v>
      </c>
      <c r="D11" s="40" t="s">
        <v>43</v>
      </c>
      <c r="E11" s="40" t="s">
        <v>44</v>
      </c>
      <c r="F11" s="40" t="s">
        <v>45</v>
      </c>
      <c r="G11" s="39" t="s">
        <v>152</v>
      </c>
      <c r="H11" s="31" t="s">
        <v>176</v>
      </c>
    </row>
    <row r="12" spans="1:8" x14ac:dyDescent="0.35">
      <c r="A12" s="8" t="s">
        <v>93</v>
      </c>
      <c r="B12" s="7">
        <v>230</v>
      </c>
      <c r="C12" s="7">
        <v>1631</v>
      </c>
      <c r="D12" s="7">
        <v>1331</v>
      </c>
      <c r="E12" s="7">
        <v>1714</v>
      </c>
      <c r="F12" s="47">
        <v>1645</v>
      </c>
      <c r="G12" s="44" t="s">
        <v>213</v>
      </c>
      <c r="H12" s="43" t="s">
        <v>189</v>
      </c>
    </row>
    <row r="13" spans="1:8" x14ac:dyDescent="0.35">
      <c r="A13" s="8" t="s">
        <v>91</v>
      </c>
      <c r="B13" s="7">
        <v>10</v>
      </c>
      <c r="C13" s="7">
        <v>570</v>
      </c>
      <c r="D13" s="7">
        <v>2594</v>
      </c>
      <c r="E13" s="7">
        <v>1679</v>
      </c>
      <c r="F13" s="47">
        <v>2544</v>
      </c>
      <c r="G13" s="13">
        <v>1707</v>
      </c>
      <c r="H13" s="13">
        <v>1597</v>
      </c>
    </row>
    <row r="14" spans="1:8" x14ac:dyDescent="0.35">
      <c r="A14" s="12" t="s">
        <v>40</v>
      </c>
      <c r="B14" s="13">
        <f>SUBTOTAL(109,HarePermittedNumbers[Number of individuals permitted to be killed 2019])</f>
        <v>240</v>
      </c>
      <c r="C14" s="13">
        <f>SUBTOTAL(109,HarePermittedNumbers[Number of individuals permitted to be killed 2020])</f>
        <v>2201</v>
      </c>
      <c r="D14" s="13">
        <f>SUBTOTAL(109,HarePermittedNumbers[Number of individuals permitted to be killed 2021])</f>
        <v>3925</v>
      </c>
      <c r="E14" s="13">
        <f>SUBTOTAL(109,HarePermittedNumbers[Number of individuals permitted to be killed 2022])</f>
        <v>3393</v>
      </c>
      <c r="F14" s="14">
        <f>SUBTOTAL(109,HarePermittedNumbers[Number of individuals permitted to be killed 2023])</f>
        <v>4189</v>
      </c>
      <c r="G14" s="28" t="s">
        <v>214</v>
      </c>
      <c r="H14" s="26" t="s">
        <v>205</v>
      </c>
    </row>
    <row r="15" spans="1:8" ht="47" customHeight="1" x14ac:dyDescent="0.35">
      <c r="A15" s="11" t="s">
        <v>13</v>
      </c>
      <c r="B15" s="89" t="s">
        <v>188</v>
      </c>
      <c r="C15" s="89"/>
      <c r="D15" s="89"/>
      <c r="E15" s="89"/>
      <c r="F15" s="89"/>
    </row>
    <row r="17" spans="1:8" x14ac:dyDescent="0.35">
      <c r="A17" s="21" t="s">
        <v>53</v>
      </c>
    </row>
    <row r="18" spans="1:8" ht="101.5" x14ac:dyDescent="0.35">
      <c r="A18" s="16" t="s">
        <v>10</v>
      </c>
      <c r="B18" s="40" t="s">
        <v>48</v>
      </c>
      <c r="C18" s="40" t="s">
        <v>49</v>
      </c>
      <c r="D18" s="40" t="s">
        <v>50</v>
      </c>
      <c r="E18" s="40" t="s">
        <v>51</v>
      </c>
      <c r="F18" s="40" t="s">
        <v>52</v>
      </c>
      <c r="G18" s="39" t="s">
        <v>153</v>
      </c>
      <c r="H18" s="31" t="s">
        <v>177</v>
      </c>
    </row>
    <row r="19" spans="1:8" x14ac:dyDescent="0.35">
      <c r="A19" s="8" t="s">
        <v>93</v>
      </c>
      <c r="B19" s="7">
        <v>97</v>
      </c>
      <c r="C19" s="7">
        <v>688</v>
      </c>
      <c r="D19" s="7">
        <v>610</v>
      </c>
      <c r="E19" s="7">
        <v>963</v>
      </c>
      <c r="F19" s="47">
        <v>1187</v>
      </c>
      <c r="G19" s="44">
        <v>2038</v>
      </c>
      <c r="H19" s="59"/>
    </row>
    <row r="20" spans="1:8" x14ac:dyDescent="0.35">
      <c r="A20" s="8" t="s">
        <v>91</v>
      </c>
      <c r="B20" s="7">
        <v>33</v>
      </c>
      <c r="C20" s="7">
        <v>517</v>
      </c>
      <c r="D20" s="7">
        <v>1257</v>
      </c>
      <c r="E20" s="7">
        <v>751</v>
      </c>
      <c r="F20" s="47">
        <v>869</v>
      </c>
      <c r="G20" s="13">
        <v>1344</v>
      </c>
      <c r="H20" s="57"/>
    </row>
    <row r="21" spans="1:8" x14ac:dyDescent="0.35">
      <c r="A21" s="12" t="s">
        <v>40</v>
      </c>
      <c r="B21" s="13">
        <f>SUBTOTAL(109,HareNumbersTaken[Number of individuals taken reported on licence return 2019])</f>
        <v>130</v>
      </c>
      <c r="C21" s="13">
        <f>SUBTOTAL(109,HareNumbersTaken[Number of individuals taken reported on licence return 2020])</f>
        <v>1205</v>
      </c>
      <c r="D21" s="13">
        <f>SUBTOTAL(109,HareNumbersTaken[Number of individuals taken reported on licence return 2021])</f>
        <v>1867</v>
      </c>
      <c r="E21" s="13">
        <f>SUBTOTAL(109,HareNumbersTaken[Number of individuals taken reported on licence return 2022])</f>
        <v>1714</v>
      </c>
      <c r="F21" s="14">
        <f>SUBTOTAL(109,HareNumbersTaken[Number of individuals taken reported on licence return 2023])</f>
        <v>2056</v>
      </c>
      <c r="G21" s="14">
        <f>SUBTOTAL(109,HareNumbersTaken[Number of individuals taken reported on licence return 2024])</f>
        <v>3382</v>
      </c>
      <c r="H21" s="57"/>
    </row>
    <row r="22" spans="1:8" x14ac:dyDescent="0.35">
      <c r="A22" s="86"/>
      <c r="B22" s="86"/>
      <c r="C22" s="86"/>
      <c r="D22" s="86"/>
      <c r="E22" s="86"/>
      <c r="F22" s="86"/>
    </row>
  </sheetData>
  <mergeCells count="1">
    <mergeCell ref="B15:F15"/>
  </mergeCells>
  <phoneticPr fontId="10" type="noConversion"/>
  <pageMargins left="0.7" right="0.7" top="0.75" bottom="0.75" header="0.3" footer="0.3"/>
  <pageSetup paperSize="9" orientation="portrait"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1"/>
  <sheetViews>
    <sheetView topLeftCell="A65" zoomScaleNormal="100" workbookViewId="0">
      <selection activeCell="K34" sqref="K34"/>
    </sheetView>
  </sheetViews>
  <sheetFormatPr defaultRowHeight="14.5" x14ac:dyDescent="0.35"/>
  <cols>
    <col min="1" max="1" width="24" customWidth="1"/>
    <col min="2" max="6" width="10.26953125" customWidth="1"/>
    <col min="7" max="7" width="10.453125" customWidth="1"/>
    <col min="8" max="8" width="10.26953125" customWidth="1"/>
  </cols>
  <sheetData>
    <row r="1" spans="1:8" x14ac:dyDescent="0.35">
      <c r="A1" s="6" t="s">
        <v>54</v>
      </c>
    </row>
    <row r="2" spans="1:8" x14ac:dyDescent="0.35">
      <c r="A2" s="52" t="s">
        <v>178</v>
      </c>
    </row>
    <row r="4" spans="1:8" x14ac:dyDescent="0.35">
      <c r="A4" s="21" t="s">
        <v>46</v>
      </c>
    </row>
    <row r="5" spans="1:8" ht="58" x14ac:dyDescent="0.35">
      <c r="A5" s="16" t="s">
        <v>10</v>
      </c>
      <c r="B5" s="40" t="s">
        <v>35</v>
      </c>
      <c r="C5" s="40" t="s">
        <v>36</v>
      </c>
      <c r="D5" s="40" t="s">
        <v>37</v>
      </c>
      <c r="E5" s="40" t="s">
        <v>38</v>
      </c>
      <c r="F5" s="40" t="s">
        <v>39</v>
      </c>
      <c r="G5" s="39" t="s">
        <v>151</v>
      </c>
      <c r="H5" s="31" t="s">
        <v>175</v>
      </c>
    </row>
    <row r="6" spans="1:8" ht="29" x14ac:dyDescent="0.35">
      <c r="A6" s="49" t="s">
        <v>190</v>
      </c>
      <c r="B6" s="85">
        <v>0</v>
      </c>
      <c r="C6" s="85">
        <v>0</v>
      </c>
      <c r="D6" s="85">
        <v>0</v>
      </c>
      <c r="E6" s="85">
        <v>0</v>
      </c>
      <c r="F6" s="85">
        <v>0</v>
      </c>
      <c r="G6" s="85">
        <v>0</v>
      </c>
      <c r="H6" s="85">
        <v>2</v>
      </c>
    </row>
    <row r="7" spans="1:8" x14ac:dyDescent="0.35">
      <c r="A7" s="8" t="s">
        <v>58</v>
      </c>
      <c r="B7" s="7">
        <v>1</v>
      </c>
      <c r="C7" s="7">
        <v>1</v>
      </c>
      <c r="D7" s="7">
        <v>1</v>
      </c>
      <c r="E7" s="7">
        <v>0</v>
      </c>
      <c r="F7" s="47">
        <v>1</v>
      </c>
      <c r="G7" s="44">
        <v>0</v>
      </c>
      <c r="H7" s="44">
        <v>0</v>
      </c>
    </row>
    <row r="8" spans="1:8" x14ac:dyDescent="0.35">
      <c r="A8" s="8" t="s">
        <v>56</v>
      </c>
      <c r="B8" s="7">
        <v>0</v>
      </c>
      <c r="C8" s="7">
        <v>1</v>
      </c>
      <c r="D8" s="7">
        <v>0</v>
      </c>
      <c r="E8" s="7">
        <v>0</v>
      </c>
      <c r="F8" s="47">
        <v>0</v>
      </c>
      <c r="G8" s="7">
        <v>0</v>
      </c>
      <c r="H8" s="7">
        <v>0</v>
      </c>
    </row>
    <row r="9" spans="1:8" x14ac:dyDescent="0.35">
      <c r="A9" s="8" t="s">
        <v>28</v>
      </c>
      <c r="B9" s="7">
        <v>0</v>
      </c>
      <c r="C9" s="7">
        <v>17</v>
      </c>
      <c r="D9" s="7">
        <v>11</v>
      </c>
      <c r="E9" s="7">
        <v>16</v>
      </c>
      <c r="F9" s="47">
        <v>15</v>
      </c>
      <c r="G9" s="7">
        <v>8</v>
      </c>
      <c r="H9" s="7">
        <v>12</v>
      </c>
    </row>
    <row r="10" spans="1:8" x14ac:dyDescent="0.35">
      <c r="A10" s="8" t="s">
        <v>55</v>
      </c>
      <c r="B10" s="7">
        <v>0</v>
      </c>
      <c r="C10" s="7">
        <v>0</v>
      </c>
      <c r="D10" s="7">
        <v>0</v>
      </c>
      <c r="E10" s="7">
        <v>1</v>
      </c>
      <c r="F10" s="47">
        <v>0</v>
      </c>
      <c r="G10" s="7">
        <v>0</v>
      </c>
      <c r="H10" s="7">
        <v>1</v>
      </c>
    </row>
    <row r="11" spans="1:8" x14ac:dyDescent="0.35">
      <c r="A11" s="8" t="s">
        <v>16</v>
      </c>
      <c r="B11" s="7">
        <v>0</v>
      </c>
      <c r="C11" s="7">
        <v>3</v>
      </c>
      <c r="D11" s="7">
        <v>4</v>
      </c>
      <c r="E11" s="7">
        <v>0</v>
      </c>
      <c r="F11" s="47">
        <v>0</v>
      </c>
      <c r="G11" s="7">
        <v>0</v>
      </c>
      <c r="H11" s="7">
        <v>0</v>
      </c>
    </row>
    <row r="12" spans="1:8" x14ac:dyDescent="0.35">
      <c r="A12" s="8" t="s">
        <v>62</v>
      </c>
      <c r="B12" s="7">
        <v>0</v>
      </c>
      <c r="C12" s="7">
        <v>0</v>
      </c>
      <c r="D12" s="7">
        <v>0</v>
      </c>
      <c r="E12" s="7">
        <v>1</v>
      </c>
      <c r="F12" s="47">
        <v>0</v>
      </c>
      <c r="G12" s="7">
        <v>0</v>
      </c>
      <c r="H12" s="7">
        <v>0</v>
      </c>
    </row>
    <row r="13" spans="1:8" x14ac:dyDescent="0.35">
      <c r="A13" s="8" t="s">
        <v>14</v>
      </c>
      <c r="B13" s="7">
        <v>3</v>
      </c>
      <c r="C13" s="7">
        <v>2</v>
      </c>
      <c r="D13" s="7">
        <v>1</v>
      </c>
      <c r="E13" s="7">
        <v>0</v>
      </c>
      <c r="F13" s="47">
        <v>0</v>
      </c>
      <c r="G13" s="7">
        <v>1</v>
      </c>
      <c r="H13" s="7">
        <v>0</v>
      </c>
    </row>
    <row r="14" spans="1:8" x14ac:dyDescent="0.35">
      <c r="A14" s="8" t="s">
        <v>29</v>
      </c>
      <c r="B14" s="7">
        <v>0</v>
      </c>
      <c r="C14" s="7">
        <v>2</v>
      </c>
      <c r="D14" s="7">
        <v>2</v>
      </c>
      <c r="E14" s="7">
        <v>0</v>
      </c>
      <c r="F14" s="47">
        <v>0</v>
      </c>
      <c r="G14" s="7">
        <v>0</v>
      </c>
      <c r="H14" s="7">
        <v>0</v>
      </c>
    </row>
    <row r="15" spans="1:8" x14ac:dyDescent="0.35">
      <c r="A15" s="8" t="s">
        <v>61</v>
      </c>
      <c r="B15" s="7">
        <v>1</v>
      </c>
      <c r="C15" s="7">
        <v>4</v>
      </c>
      <c r="D15" s="7">
        <v>9</v>
      </c>
      <c r="E15" s="7">
        <v>3</v>
      </c>
      <c r="F15" s="47">
        <v>0</v>
      </c>
      <c r="G15" s="7">
        <v>2</v>
      </c>
      <c r="H15" s="7">
        <v>1</v>
      </c>
    </row>
    <row r="16" spans="1:8" x14ac:dyDescent="0.35">
      <c r="A16" s="8" t="s">
        <v>30</v>
      </c>
      <c r="B16" s="7">
        <v>0</v>
      </c>
      <c r="C16" s="7">
        <v>6</v>
      </c>
      <c r="D16" s="7">
        <v>8</v>
      </c>
      <c r="E16" s="7">
        <v>3</v>
      </c>
      <c r="F16" s="47">
        <v>6</v>
      </c>
      <c r="G16" s="7">
        <v>0</v>
      </c>
      <c r="H16" s="7">
        <v>3</v>
      </c>
    </row>
    <row r="17" spans="1:8" x14ac:dyDescent="0.35">
      <c r="A17" s="8" t="s">
        <v>27</v>
      </c>
      <c r="B17" s="7">
        <v>0</v>
      </c>
      <c r="C17" s="7">
        <v>0</v>
      </c>
      <c r="D17" s="7">
        <v>0</v>
      </c>
      <c r="E17" s="7">
        <v>0</v>
      </c>
      <c r="F17" s="47">
        <v>3</v>
      </c>
      <c r="G17" s="7">
        <v>2</v>
      </c>
      <c r="H17" s="7">
        <v>0</v>
      </c>
    </row>
    <row r="18" spans="1:8" x14ac:dyDescent="0.35">
      <c r="A18" s="8" t="s">
        <v>31</v>
      </c>
      <c r="B18" s="7">
        <v>0</v>
      </c>
      <c r="C18" s="7">
        <v>5</v>
      </c>
      <c r="D18" s="7">
        <v>2</v>
      </c>
      <c r="E18" s="7">
        <v>7</v>
      </c>
      <c r="F18" s="47">
        <v>13</v>
      </c>
      <c r="G18" s="7">
        <v>2</v>
      </c>
      <c r="H18" s="7">
        <v>13</v>
      </c>
    </row>
    <row r="19" spans="1:8" x14ac:dyDescent="0.35">
      <c r="A19" s="8" t="s">
        <v>63</v>
      </c>
      <c r="B19" s="7">
        <v>0</v>
      </c>
      <c r="C19" s="7">
        <v>2</v>
      </c>
      <c r="D19" s="7">
        <v>0</v>
      </c>
      <c r="E19" s="7">
        <v>0</v>
      </c>
      <c r="F19" s="47">
        <v>0</v>
      </c>
      <c r="G19" s="7">
        <v>0</v>
      </c>
      <c r="H19" s="7">
        <v>0</v>
      </c>
    </row>
    <row r="20" spans="1:8" x14ac:dyDescent="0.35">
      <c r="A20" s="8" t="s">
        <v>59</v>
      </c>
      <c r="B20" s="7">
        <v>1</v>
      </c>
      <c r="C20" s="7">
        <v>9</v>
      </c>
      <c r="D20" s="7">
        <v>10</v>
      </c>
      <c r="E20" s="7">
        <v>3</v>
      </c>
      <c r="F20" s="47">
        <v>3</v>
      </c>
      <c r="G20" s="7">
        <v>1</v>
      </c>
      <c r="H20" s="7">
        <v>1</v>
      </c>
    </row>
    <row r="21" spans="1:8" x14ac:dyDescent="0.35">
      <c r="A21" s="8" t="s">
        <v>32</v>
      </c>
      <c r="B21" s="7">
        <v>0</v>
      </c>
      <c r="C21" s="7">
        <v>4</v>
      </c>
      <c r="D21" s="7">
        <v>7</v>
      </c>
      <c r="E21" s="7">
        <v>6</v>
      </c>
      <c r="F21" s="47">
        <v>3</v>
      </c>
      <c r="G21" s="7">
        <v>0</v>
      </c>
      <c r="H21" s="7">
        <v>3</v>
      </c>
    </row>
    <row r="22" spans="1:8" x14ac:dyDescent="0.35">
      <c r="A22" s="8" t="s">
        <v>192</v>
      </c>
      <c r="B22" s="7">
        <v>0</v>
      </c>
      <c r="C22" s="7">
        <v>0</v>
      </c>
      <c r="D22" s="7">
        <v>0</v>
      </c>
      <c r="E22" s="7">
        <v>0</v>
      </c>
      <c r="F22" s="7">
        <v>0</v>
      </c>
      <c r="G22" s="7">
        <v>0</v>
      </c>
      <c r="H22" s="7">
        <v>1</v>
      </c>
    </row>
    <row r="23" spans="1:8" x14ac:dyDescent="0.35">
      <c r="A23" s="8" t="s">
        <v>33</v>
      </c>
      <c r="B23" s="7">
        <v>2</v>
      </c>
      <c r="C23" s="7">
        <v>1</v>
      </c>
      <c r="D23" s="7">
        <v>4</v>
      </c>
      <c r="E23" s="7">
        <v>7</v>
      </c>
      <c r="F23" s="47">
        <v>4</v>
      </c>
      <c r="G23" s="7">
        <v>1</v>
      </c>
      <c r="H23" s="7">
        <v>0</v>
      </c>
    </row>
    <row r="24" spans="1:8" x14ac:dyDescent="0.35">
      <c r="A24" s="8" t="s">
        <v>57</v>
      </c>
      <c r="B24" s="7">
        <v>1</v>
      </c>
      <c r="C24" s="7">
        <v>3</v>
      </c>
      <c r="D24" s="7">
        <v>4</v>
      </c>
      <c r="E24" s="7">
        <v>1</v>
      </c>
      <c r="F24" s="47">
        <v>1</v>
      </c>
      <c r="G24" s="7">
        <v>1</v>
      </c>
      <c r="H24" s="7">
        <v>0</v>
      </c>
    </row>
    <row r="25" spans="1:8" x14ac:dyDescent="0.35">
      <c r="A25" s="8" t="s">
        <v>60</v>
      </c>
      <c r="B25" s="7">
        <v>0</v>
      </c>
      <c r="C25" s="7">
        <v>1</v>
      </c>
      <c r="D25" s="7">
        <v>0</v>
      </c>
      <c r="E25" s="7">
        <v>0</v>
      </c>
      <c r="F25" s="47">
        <v>0</v>
      </c>
      <c r="G25" s="7">
        <v>0</v>
      </c>
      <c r="H25" s="7">
        <v>0</v>
      </c>
    </row>
    <row r="26" spans="1:8" x14ac:dyDescent="0.35">
      <c r="A26" s="12" t="s">
        <v>18</v>
      </c>
      <c r="B26" s="13">
        <v>0</v>
      </c>
      <c r="C26" s="13">
        <v>1</v>
      </c>
      <c r="D26" s="13">
        <v>1</v>
      </c>
      <c r="E26" s="13">
        <v>2</v>
      </c>
      <c r="F26" s="14">
        <v>1</v>
      </c>
      <c r="G26" s="13">
        <v>0</v>
      </c>
      <c r="H26" s="13">
        <v>5</v>
      </c>
    </row>
    <row r="27" spans="1:8" x14ac:dyDescent="0.35">
      <c r="A27" s="12" t="s">
        <v>134</v>
      </c>
      <c r="B27" s="26" t="s">
        <v>135</v>
      </c>
      <c r="C27" s="26" t="s">
        <v>136</v>
      </c>
      <c r="D27" s="26" t="s">
        <v>137</v>
      </c>
      <c r="E27" s="26" t="s">
        <v>138</v>
      </c>
      <c r="F27" s="26" t="s">
        <v>138</v>
      </c>
      <c r="G27" s="26" t="s">
        <v>186</v>
      </c>
      <c r="H27" s="26" t="s">
        <v>206</v>
      </c>
    </row>
    <row r="30" spans="1:8" x14ac:dyDescent="0.35">
      <c r="A30" s="21" t="s">
        <v>47</v>
      </c>
    </row>
    <row r="31" spans="1:8" ht="72.5" x14ac:dyDescent="0.35">
      <c r="A31" s="16" t="s">
        <v>10</v>
      </c>
      <c r="B31" s="15" t="s">
        <v>41</v>
      </c>
      <c r="C31" s="15" t="s">
        <v>42</v>
      </c>
      <c r="D31" s="15" t="s">
        <v>43</v>
      </c>
      <c r="E31" s="15" t="s">
        <v>44</v>
      </c>
      <c r="F31" s="15" t="s">
        <v>45</v>
      </c>
      <c r="G31" s="31" t="s">
        <v>152</v>
      </c>
      <c r="H31" s="31" t="s">
        <v>176</v>
      </c>
    </row>
    <row r="32" spans="1:8" ht="29" x14ac:dyDescent="0.35">
      <c r="A32" s="49" t="s">
        <v>190</v>
      </c>
      <c r="B32" s="25" t="s">
        <v>64</v>
      </c>
      <c r="C32" s="25" t="s">
        <v>64</v>
      </c>
      <c r="D32" s="25" t="s">
        <v>64</v>
      </c>
      <c r="E32" s="25" t="s">
        <v>64</v>
      </c>
      <c r="F32" s="25" t="s">
        <v>64</v>
      </c>
      <c r="G32" s="25" t="s">
        <v>64</v>
      </c>
      <c r="H32" s="9" t="s">
        <v>13</v>
      </c>
    </row>
    <row r="33" spans="1:8" ht="18.5" x14ac:dyDescent="0.35">
      <c r="A33" s="8" t="s">
        <v>58</v>
      </c>
      <c r="B33" s="9" t="s">
        <v>13</v>
      </c>
      <c r="C33" s="25">
        <v>1</v>
      </c>
      <c r="D33" s="25">
        <v>1</v>
      </c>
      <c r="E33" s="25" t="s">
        <v>64</v>
      </c>
      <c r="F33" s="25">
        <v>2</v>
      </c>
      <c r="G33" s="43" t="s">
        <v>64</v>
      </c>
      <c r="H33" s="43" t="s">
        <v>64</v>
      </c>
    </row>
    <row r="34" spans="1:8" x14ac:dyDescent="0.35">
      <c r="A34" s="8" t="s">
        <v>56</v>
      </c>
      <c r="B34" s="25" t="s">
        <v>64</v>
      </c>
      <c r="C34" s="25">
        <v>1</v>
      </c>
      <c r="D34" s="25" t="s">
        <v>64</v>
      </c>
      <c r="E34" s="25" t="s">
        <v>64</v>
      </c>
      <c r="F34" s="25" t="s">
        <v>64</v>
      </c>
      <c r="G34" s="43" t="s">
        <v>64</v>
      </c>
      <c r="H34" s="43" t="s">
        <v>64</v>
      </c>
    </row>
    <row r="35" spans="1:8" x14ac:dyDescent="0.35">
      <c r="A35" s="8" t="s">
        <v>28</v>
      </c>
      <c r="B35" s="25" t="s">
        <v>64</v>
      </c>
      <c r="C35" s="25">
        <v>241</v>
      </c>
      <c r="D35" s="25">
        <v>51</v>
      </c>
      <c r="E35" s="25">
        <v>31</v>
      </c>
      <c r="F35" s="25">
        <v>49</v>
      </c>
      <c r="G35" s="25" t="s">
        <v>215</v>
      </c>
      <c r="H35" s="25" t="s">
        <v>194</v>
      </c>
    </row>
    <row r="36" spans="1:8" x14ac:dyDescent="0.35">
      <c r="A36" s="8" t="s">
        <v>55</v>
      </c>
      <c r="B36" s="25" t="s">
        <v>64</v>
      </c>
      <c r="C36" s="25" t="s">
        <v>64</v>
      </c>
      <c r="D36" s="25" t="s">
        <v>64</v>
      </c>
      <c r="E36" s="25">
        <v>1</v>
      </c>
      <c r="F36" s="25" t="s">
        <v>64</v>
      </c>
      <c r="G36" s="43" t="s">
        <v>64</v>
      </c>
      <c r="H36" s="25">
        <v>5</v>
      </c>
    </row>
    <row r="37" spans="1:8" x14ac:dyDescent="0.35">
      <c r="A37" s="8" t="s">
        <v>16</v>
      </c>
      <c r="B37" s="25" t="s">
        <v>64</v>
      </c>
      <c r="C37" s="25">
        <v>95</v>
      </c>
      <c r="D37" s="25">
        <v>130</v>
      </c>
      <c r="E37" s="25" t="s">
        <v>64</v>
      </c>
      <c r="F37" s="46" t="s">
        <v>64</v>
      </c>
      <c r="G37" s="43" t="s">
        <v>64</v>
      </c>
      <c r="H37" s="43" t="s">
        <v>64</v>
      </c>
    </row>
    <row r="38" spans="1:8" x14ac:dyDescent="0.35">
      <c r="A38" s="8" t="s">
        <v>62</v>
      </c>
      <c r="B38" s="25" t="s">
        <v>64</v>
      </c>
      <c r="C38" s="25" t="s">
        <v>64</v>
      </c>
      <c r="D38" s="25" t="s">
        <v>64</v>
      </c>
      <c r="E38" s="25">
        <v>6</v>
      </c>
      <c r="F38" s="46" t="s">
        <v>64</v>
      </c>
      <c r="G38" s="43" t="s">
        <v>64</v>
      </c>
      <c r="H38" s="43" t="s">
        <v>64</v>
      </c>
    </row>
    <row r="39" spans="1:8" x14ac:dyDescent="0.35">
      <c r="A39" s="8" t="s">
        <v>14</v>
      </c>
      <c r="B39" s="25">
        <v>20</v>
      </c>
      <c r="C39" s="25">
        <v>20</v>
      </c>
      <c r="D39" s="25">
        <v>10</v>
      </c>
      <c r="E39" s="25" t="s">
        <v>64</v>
      </c>
      <c r="F39" s="25" t="s">
        <v>64</v>
      </c>
      <c r="G39" s="25">
        <v>10</v>
      </c>
      <c r="H39" s="43" t="s">
        <v>64</v>
      </c>
    </row>
    <row r="40" spans="1:8" x14ac:dyDescent="0.35">
      <c r="A40" s="8" t="s">
        <v>29</v>
      </c>
      <c r="B40" s="25" t="s">
        <v>64</v>
      </c>
      <c r="C40" s="25">
        <v>40</v>
      </c>
      <c r="D40" s="25">
        <v>6</v>
      </c>
      <c r="E40" s="25" t="s">
        <v>64</v>
      </c>
      <c r="F40" s="46" t="s">
        <v>64</v>
      </c>
      <c r="G40" s="43" t="s">
        <v>64</v>
      </c>
      <c r="H40" s="43" t="s">
        <v>64</v>
      </c>
    </row>
    <row r="41" spans="1:8" ht="18.5" x14ac:dyDescent="0.35">
      <c r="A41" s="8" t="s">
        <v>61</v>
      </c>
      <c r="B41" s="9" t="s">
        <v>13</v>
      </c>
      <c r="C41" s="25">
        <v>16</v>
      </c>
      <c r="D41" s="25">
        <v>19</v>
      </c>
      <c r="E41" s="25">
        <v>7</v>
      </c>
      <c r="F41" s="46" t="s">
        <v>64</v>
      </c>
      <c r="G41" s="25">
        <v>2</v>
      </c>
      <c r="H41" s="9" t="s">
        <v>13</v>
      </c>
    </row>
    <row r="42" spans="1:8" ht="18.5" x14ac:dyDescent="0.35">
      <c r="A42" s="8" t="s">
        <v>30</v>
      </c>
      <c r="B42" s="25" t="s">
        <v>64</v>
      </c>
      <c r="C42" s="25">
        <v>40</v>
      </c>
      <c r="D42" s="25">
        <v>74</v>
      </c>
      <c r="E42" s="25">
        <v>17</v>
      </c>
      <c r="F42" s="25">
        <v>28</v>
      </c>
      <c r="G42" s="43" t="s">
        <v>64</v>
      </c>
      <c r="H42" s="9" t="s">
        <v>13</v>
      </c>
    </row>
    <row r="43" spans="1:8" x14ac:dyDescent="0.35">
      <c r="A43" s="8" t="s">
        <v>27</v>
      </c>
      <c r="B43" s="25" t="s">
        <v>64</v>
      </c>
      <c r="C43" s="25" t="s">
        <v>64</v>
      </c>
      <c r="D43" s="25" t="s">
        <v>64</v>
      </c>
      <c r="E43" s="25" t="s">
        <v>64</v>
      </c>
      <c r="F43" s="25">
        <v>3</v>
      </c>
      <c r="G43" s="25">
        <v>2</v>
      </c>
      <c r="H43" s="25" t="s">
        <v>64</v>
      </c>
    </row>
    <row r="44" spans="1:8" x14ac:dyDescent="0.35">
      <c r="A44" s="8" t="s">
        <v>31</v>
      </c>
      <c r="B44" s="25" t="s">
        <v>64</v>
      </c>
      <c r="C44" s="25">
        <v>7</v>
      </c>
      <c r="D44" s="25">
        <v>2</v>
      </c>
      <c r="E44" s="25">
        <v>10</v>
      </c>
      <c r="F44" s="46">
        <v>17</v>
      </c>
      <c r="G44" s="25">
        <v>5</v>
      </c>
      <c r="H44" s="25">
        <v>18</v>
      </c>
    </row>
    <row r="45" spans="1:8" x14ac:dyDescent="0.35">
      <c r="A45" s="8" t="s">
        <v>63</v>
      </c>
      <c r="B45" s="25" t="s">
        <v>64</v>
      </c>
      <c r="C45" s="25">
        <v>4</v>
      </c>
      <c r="D45" s="25" t="s">
        <v>64</v>
      </c>
      <c r="E45" s="25" t="s">
        <v>64</v>
      </c>
      <c r="F45" s="46" t="s">
        <v>64</v>
      </c>
      <c r="G45" s="43" t="s">
        <v>64</v>
      </c>
      <c r="H45" s="25" t="s">
        <v>64</v>
      </c>
    </row>
    <row r="46" spans="1:8" ht="18.5" x14ac:dyDescent="0.35">
      <c r="A46" s="8" t="s">
        <v>59</v>
      </c>
      <c r="B46" s="9" t="s">
        <v>13</v>
      </c>
      <c r="C46" s="25">
        <v>11</v>
      </c>
      <c r="D46" s="25">
        <v>8</v>
      </c>
      <c r="E46" s="25">
        <v>5</v>
      </c>
      <c r="F46" s="25">
        <v>2</v>
      </c>
      <c r="G46" s="43">
        <v>4</v>
      </c>
      <c r="H46" s="25">
        <v>1</v>
      </c>
    </row>
    <row r="47" spans="1:8" ht="18.5" x14ac:dyDescent="0.35">
      <c r="A47" s="8" t="s">
        <v>32</v>
      </c>
      <c r="B47" s="25" t="s">
        <v>64</v>
      </c>
      <c r="C47" s="25">
        <v>49</v>
      </c>
      <c r="D47" s="25">
        <v>198</v>
      </c>
      <c r="E47" s="25">
        <v>10</v>
      </c>
      <c r="F47" s="9" t="s">
        <v>13</v>
      </c>
      <c r="G47" s="43" t="s">
        <v>64</v>
      </c>
      <c r="H47" s="9" t="s">
        <v>13</v>
      </c>
    </row>
    <row r="48" spans="1:8" ht="18.5" x14ac:dyDescent="0.35">
      <c r="A48" s="8" t="s">
        <v>193</v>
      </c>
      <c r="B48" s="25" t="s">
        <v>64</v>
      </c>
      <c r="C48" s="25" t="s">
        <v>64</v>
      </c>
      <c r="D48" s="25" t="s">
        <v>64</v>
      </c>
      <c r="E48" s="25" t="s">
        <v>64</v>
      </c>
      <c r="F48" s="25" t="s">
        <v>64</v>
      </c>
      <c r="G48" s="25" t="s">
        <v>64</v>
      </c>
      <c r="H48" s="9" t="s">
        <v>13</v>
      </c>
    </row>
    <row r="49" spans="1:8" x14ac:dyDescent="0.35">
      <c r="A49" s="8" t="s">
        <v>33</v>
      </c>
      <c r="B49" s="24">
        <v>1</v>
      </c>
      <c r="C49" s="25">
        <v>24</v>
      </c>
      <c r="D49" s="25">
        <v>21</v>
      </c>
      <c r="E49" s="25">
        <v>32</v>
      </c>
      <c r="F49" s="25">
        <v>12</v>
      </c>
      <c r="G49" s="43">
        <v>20</v>
      </c>
      <c r="H49" s="25" t="s">
        <v>64</v>
      </c>
    </row>
    <row r="50" spans="1:8" ht="18.5" x14ac:dyDescent="0.35">
      <c r="A50" s="8" t="s">
        <v>57</v>
      </c>
      <c r="B50" s="9" t="s">
        <v>13</v>
      </c>
      <c r="C50" s="25">
        <v>34</v>
      </c>
      <c r="D50" s="25">
        <v>11</v>
      </c>
      <c r="E50" s="25">
        <v>2</v>
      </c>
      <c r="F50" s="25">
        <v>1</v>
      </c>
      <c r="G50" s="9" t="s">
        <v>13</v>
      </c>
      <c r="H50" s="25" t="s">
        <v>64</v>
      </c>
    </row>
    <row r="51" spans="1:8" x14ac:dyDescent="0.35">
      <c r="A51" s="8" t="s">
        <v>60</v>
      </c>
      <c r="B51" s="25" t="s">
        <v>64</v>
      </c>
      <c r="C51" s="25">
        <v>2</v>
      </c>
      <c r="D51" s="25" t="s">
        <v>64</v>
      </c>
      <c r="E51" s="25" t="s">
        <v>64</v>
      </c>
      <c r="F51" s="25" t="s">
        <v>64</v>
      </c>
      <c r="G51" s="43" t="s">
        <v>64</v>
      </c>
      <c r="H51" s="25" t="s">
        <v>64</v>
      </c>
    </row>
    <row r="52" spans="1:8" ht="18.5" x14ac:dyDescent="0.35">
      <c r="A52" s="12" t="s">
        <v>18</v>
      </c>
      <c r="B52" s="25" t="s">
        <v>64</v>
      </c>
      <c r="C52" s="18" t="s">
        <v>13</v>
      </c>
      <c r="D52" s="25">
        <v>1</v>
      </c>
      <c r="E52" s="25">
        <v>2</v>
      </c>
      <c r="F52" s="9" t="s">
        <v>13</v>
      </c>
      <c r="G52" s="43" t="s">
        <v>64</v>
      </c>
      <c r="H52" s="26" t="s">
        <v>194</v>
      </c>
    </row>
    <row r="53" spans="1:8" x14ac:dyDescent="0.35">
      <c r="A53" s="12" t="s">
        <v>40</v>
      </c>
      <c r="B53" s="26">
        <f>SUBTOTAL(109,HealthAndSafetyPermittedNumbers[Number of individuals permitted to be killed 2019])</f>
        <v>21</v>
      </c>
      <c r="C53" s="26">
        <f>SUBTOTAL(109,HealthAndSafetyPermittedNumbers[Number of individuals permitted to be killed 2020])</f>
        <v>585</v>
      </c>
      <c r="D53" s="26">
        <f>SUBTOTAL(109,HealthAndSafetyPermittedNumbers[Number of individuals permitted to be killed 2021])</f>
        <v>532</v>
      </c>
      <c r="E53" s="26">
        <f>SUBTOTAL(109,HealthAndSafetyPermittedNumbers[Number of individuals permitted to be killed 2022])</f>
        <v>123</v>
      </c>
      <c r="F53" s="26">
        <f>SUBTOTAL(109,HealthAndSafetyPermittedNumbers[Number of individuals permitted to be killed 2023])</f>
        <v>114</v>
      </c>
      <c r="G53" s="26" t="s">
        <v>216</v>
      </c>
      <c r="H53" s="26" t="s">
        <v>207</v>
      </c>
    </row>
    <row r="54" spans="1:8" ht="61.5" customHeight="1" x14ac:dyDescent="0.35">
      <c r="A54" s="23" t="s">
        <v>13</v>
      </c>
      <c r="B54" s="88" t="s">
        <v>191</v>
      </c>
      <c r="C54" s="88"/>
      <c r="D54" s="88"/>
      <c r="E54" s="88"/>
      <c r="F54" s="88"/>
    </row>
    <row r="57" spans="1:8" x14ac:dyDescent="0.35">
      <c r="A57" s="21" t="s">
        <v>53</v>
      </c>
    </row>
    <row r="58" spans="1:8" ht="101.5" x14ac:dyDescent="0.35">
      <c r="A58" s="16" t="s">
        <v>10</v>
      </c>
      <c r="B58" s="40" t="s">
        <v>48</v>
      </c>
      <c r="C58" s="40" t="s">
        <v>49</v>
      </c>
      <c r="D58" s="40" t="s">
        <v>50</v>
      </c>
      <c r="E58" s="40" t="s">
        <v>51</v>
      </c>
      <c r="F58" s="40" t="s">
        <v>52</v>
      </c>
      <c r="G58" s="39" t="s">
        <v>153</v>
      </c>
      <c r="H58" s="31" t="s">
        <v>177</v>
      </c>
    </row>
    <row r="59" spans="1:8" ht="29" x14ac:dyDescent="0.35">
      <c r="A59" s="49" t="s">
        <v>190</v>
      </c>
      <c r="B59" s="48" t="s">
        <v>64</v>
      </c>
      <c r="C59" s="48" t="s">
        <v>64</v>
      </c>
      <c r="D59" s="48" t="s">
        <v>64</v>
      </c>
      <c r="E59" s="48" t="s">
        <v>64</v>
      </c>
      <c r="F59" s="48" t="s">
        <v>64</v>
      </c>
      <c r="G59" s="72" t="s">
        <v>64</v>
      </c>
      <c r="H59" s="60"/>
    </row>
    <row r="60" spans="1:8" x14ac:dyDescent="0.35">
      <c r="A60" s="8" t="s">
        <v>58</v>
      </c>
      <c r="B60" s="7">
        <v>0</v>
      </c>
      <c r="C60" s="7">
        <v>1</v>
      </c>
      <c r="D60" s="7">
        <v>0</v>
      </c>
      <c r="E60" s="25" t="s">
        <v>64</v>
      </c>
      <c r="F60" s="7">
        <v>0</v>
      </c>
      <c r="G60" s="72" t="s">
        <v>64</v>
      </c>
      <c r="H60" s="59"/>
    </row>
    <row r="61" spans="1:8" x14ac:dyDescent="0.35">
      <c r="A61" s="8" t="s">
        <v>56</v>
      </c>
      <c r="B61" s="25" t="s">
        <v>64</v>
      </c>
      <c r="C61" s="7">
        <v>0</v>
      </c>
      <c r="D61" s="25" t="s">
        <v>64</v>
      </c>
      <c r="E61" s="25" t="s">
        <v>64</v>
      </c>
      <c r="F61" s="25" t="s">
        <v>64</v>
      </c>
      <c r="G61" s="72" t="s">
        <v>64</v>
      </c>
      <c r="H61" s="58"/>
    </row>
    <row r="62" spans="1:8" x14ac:dyDescent="0.35">
      <c r="A62" s="8" t="s">
        <v>28</v>
      </c>
      <c r="B62" s="25" t="s">
        <v>64</v>
      </c>
      <c r="C62" s="7">
        <v>20</v>
      </c>
      <c r="D62" s="7">
        <v>16</v>
      </c>
      <c r="E62" s="7">
        <v>17</v>
      </c>
      <c r="F62" s="47">
        <v>18</v>
      </c>
      <c r="G62" s="25">
        <v>8</v>
      </c>
      <c r="H62" s="58"/>
    </row>
    <row r="63" spans="1:8" x14ac:dyDescent="0.35">
      <c r="A63" s="8" t="s">
        <v>55</v>
      </c>
      <c r="B63" s="25" t="s">
        <v>64</v>
      </c>
      <c r="C63" s="25" t="s">
        <v>64</v>
      </c>
      <c r="D63" s="25" t="s">
        <v>64</v>
      </c>
      <c r="E63" s="7"/>
      <c r="F63" s="25" t="s">
        <v>64</v>
      </c>
      <c r="G63" s="25" t="s">
        <v>64</v>
      </c>
      <c r="H63" s="58"/>
    </row>
    <row r="64" spans="1:8" x14ac:dyDescent="0.35">
      <c r="A64" s="8" t="s">
        <v>16</v>
      </c>
      <c r="B64" s="25" t="s">
        <v>64</v>
      </c>
      <c r="C64" s="7">
        <v>80</v>
      </c>
      <c r="D64" s="7">
        <v>77</v>
      </c>
      <c r="E64" s="25" t="s">
        <v>64</v>
      </c>
      <c r="F64" s="25" t="s">
        <v>64</v>
      </c>
      <c r="G64" s="25" t="s">
        <v>64</v>
      </c>
      <c r="H64" s="58"/>
    </row>
    <row r="65" spans="1:8" x14ac:dyDescent="0.35">
      <c r="A65" s="8" t="s">
        <v>62</v>
      </c>
      <c r="B65" s="25" t="s">
        <v>64</v>
      </c>
      <c r="C65" s="25" t="s">
        <v>64</v>
      </c>
      <c r="D65" s="25" t="s">
        <v>64</v>
      </c>
      <c r="E65" s="7">
        <v>3</v>
      </c>
      <c r="F65" s="46" t="s">
        <v>64</v>
      </c>
      <c r="G65" s="25" t="s">
        <v>64</v>
      </c>
      <c r="H65" s="58"/>
    </row>
    <row r="66" spans="1:8" x14ac:dyDescent="0.35">
      <c r="A66" s="8" t="s">
        <v>14</v>
      </c>
      <c r="B66" s="7">
        <v>20</v>
      </c>
      <c r="C66" s="7">
        <v>20</v>
      </c>
      <c r="D66" s="7">
        <v>10</v>
      </c>
      <c r="E66" s="25" t="s">
        <v>64</v>
      </c>
      <c r="F66" s="25" t="s">
        <v>64</v>
      </c>
      <c r="G66" s="25"/>
      <c r="H66" s="58"/>
    </row>
    <row r="67" spans="1:8" x14ac:dyDescent="0.35">
      <c r="A67" s="8" t="s">
        <v>29</v>
      </c>
      <c r="B67" s="25" t="s">
        <v>64</v>
      </c>
      <c r="C67" s="7"/>
      <c r="D67" s="7"/>
      <c r="E67" s="25" t="s">
        <v>64</v>
      </c>
      <c r="F67" s="46" t="s">
        <v>64</v>
      </c>
      <c r="G67" s="46" t="s">
        <v>64</v>
      </c>
      <c r="H67" s="58"/>
    </row>
    <row r="68" spans="1:8" x14ac:dyDescent="0.35">
      <c r="A68" s="8" t="s">
        <v>61</v>
      </c>
      <c r="B68" s="7">
        <v>0</v>
      </c>
      <c r="C68" s="7">
        <v>2</v>
      </c>
      <c r="D68" s="7">
        <v>0</v>
      </c>
      <c r="E68" s="7">
        <v>0</v>
      </c>
      <c r="F68" s="46" t="s">
        <v>64</v>
      </c>
      <c r="G68" s="25">
        <v>1</v>
      </c>
      <c r="H68" s="58"/>
    </row>
    <row r="69" spans="1:8" x14ac:dyDescent="0.35">
      <c r="A69" s="8" t="s">
        <v>30</v>
      </c>
      <c r="B69" s="25" t="s">
        <v>64</v>
      </c>
      <c r="C69" s="7">
        <v>9</v>
      </c>
      <c r="D69" s="7">
        <v>4</v>
      </c>
      <c r="E69" s="7">
        <v>16</v>
      </c>
      <c r="F69" s="7">
        <v>17</v>
      </c>
      <c r="G69" s="25" t="s">
        <v>64</v>
      </c>
      <c r="H69" s="58"/>
    </row>
    <row r="70" spans="1:8" x14ac:dyDescent="0.35">
      <c r="A70" s="8" t="s">
        <v>27</v>
      </c>
      <c r="B70" s="25" t="s">
        <v>64</v>
      </c>
      <c r="C70" s="25" t="s">
        <v>64</v>
      </c>
      <c r="D70" s="25" t="s">
        <v>64</v>
      </c>
      <c r="E70" s="25" t="s">
        <v>64</v>
      </c>
      <c r="F70" s="25" t="s">
        <v>64</v>
      </c>
      <c r="G70" s="25">
        <v>0</v>
      </c>
      <c r="H70" s="58"/>
    </row>
    <row r="71" spans="1:8" x14ac:dyDescent="0.35">
      <c r="A71" s="8" t="s">
        <v>31</v>
      </c>
      <c r="B71" s="25" t="s">
        <v>64</v>
      </c>
      <c r="C71" s="7">
        <v>0</v>
      </c>
      <c r="D71" s="7">
        <v>2</v>
      </c>
      <c r="E71" s="7">
        <v>0</v>
      </c>
      <c r="F71" s="47">
        <v>12</v>
      </c>
      <c r="G71" s="25">
        <v>0</v>
      </c>
      <c r="H71" s="58"/>
    </row>
    <row r="72" spans="1:8" x14ac:dyDescent="0.35">
      <c r="A72" s="8" t="s">
        <v>63</v>
      </c>
      <c r="B72" s="25" t="s">
        <v>64</v>
      </c>
      <c r="C72" s="7">
        <v>0</v>
      </c>
      <c r="D72" s="25" t="s">
        <v>64</v>
      </c>
      <c r="E72" s="25" t="s">
        <v>64</v>
      </c>
      <c r="F72" s="46" t="s">
        <v>64</v>
      </c>
      <c r="G72" s="46" t="s">
        <v>64</v>
      </c>
      <c r="H72" s="58"/>
    </row>
    <row r="73" spans="1:8" x14ac:dyDescent="0.35">
      <c r="A73" s="8" t="s">
        <v>59</v>
      </c>
      <c r="B73" s="7">
        <v>1</v>
      </c>
      <c r="C73" s="7">
        <v>1</v>
      </c>
      <c r="D73" s="7">
        <v>1</v>
      </c>
      <c r="E73" s="7"/>
      <c r="F73" s="47">
        <v>0</v>
      </c>
      <c r="G73" s="25">
        <v>1</v>
      </c>
      <c r="H73" s="58"/>
    </row>
    <row r="74" spans="1:8" x14ac:dyDescent="0.35">
      <c r="A74" s="8" t="s">
        <v>32</v>
      </c>
      <c r="B74" s="25" t="s">
        <v>64</v>
      </c>
      <c r="C74" s="7">
        <v>23</v>
      </c>
      <c r="D74" s="7">
        <v>5</v>
      </c>
      <c r="E74" s="7">
        <v>0</v>
      </c>
      <c r="F74" s="46" t="s">
        <v>64</v>
      </c>
      <c r="G74" s="25">
        <v>0</v>
      </c>
      <c r="H74" s="58"/>
    </row>
    <row r="75" spans="1:8" x14ac:dyDescent="0.35">
      <c r="A75" s="8" t="s">
        <v>193</v>
      </c>
      <c r="B75" s="25" t="s">
        <v>64</v>
      </c>
      <c r="C75" s="25" t="s">
        <v>64</v>
      </c>
      <c r="D75" s="25" t="s">
        <v>64</v>
      </c>
      <c r="E75" s="25" t="s">
        <v>64</v>
      </c>
      <c r="F75" s="25" t="s">
        <v>64</v>
      </c>
      <c r="G75" s="25" t="s">
        <v>64</v>
      </c>
      <c r="H75" s="58"/>
    </row>
    <row r="76" spans="1:8" x14ac:dyDescent="0.35">
      <c r="A76" s="8" t="s">
        <v>33</v>
      </c>
      <c r="B76" s="7">
        <v>0</v>
      </c>
      <c r="C76" s="7"/>
      <c r="D76" s="7">
        <v>9</v>
      </c>
      <c r="E76" s="7">
        <v>0</v>
      </c>
      <c r="F76" s="7">
        <v>11</v>
      </c>
      <c r="G76" s="25">
        <v>0</v>
      </c>
      <c r="H76" s="58"/>
    </row>
    <row r="77" spans="1:8" x14ac:dyDescent="0.35">
      <c r="A77" s="8" t="s">
        <v>57</v>
      </c>
      <c r="B77" s="7">
        <v>0</v>
      </c>
      <c r="C77" s="7">
        <v>6</v>
      </c>
      <c r="D77" s="7">
        <v>1</v>
      </c>
      <c r="E77" s="7"/>
      <c r="F77" s="7">
        <v>0</v>
      </c>
      <c r="G77" s="25">
        <v>0</v>
      </c>
      <c r="H77" s="58"/>
    </row>
    <row r="78" spans="1:8" x14ac:dyDescent="0.35">
      <c r="A78" s="8" t="s">
        <v>60</v>
      </c>
      <c r="B78" s="25" t="s">
        <v>64</v>
      </c>
      <c r="C78" s="7">
        <v>0</v>
      </c>
      <c r="D78" s="25" t="s">
        <v>64</v>
      </c>
      <c r="E78" s="25" t="s">
        <v>64</v>
      </c>
      <c r="F78" s="25" t="s">
        <v>64</v>
      </c>
      <c r="G78" s="25" t="s">
        <v>64</v>
      </c>
      <c r="H78" s="58"/>
    </row>
    <row r="79" spans="1:8" x14ac:dyDescent="0.35">
      <c r="A79" s="8" t="s">
        <v>18</v>
      </c>
      <c r="B79" s="25" t="s">
        <v>64</v>
      </c>
      <c r="C79" s="7"/>
      <c r="D79" s="7">
        <v>1</v>
      </c>
      <c r="E79" s="7">
        <v>1</v>
      </c>
      <c r="F79" s="7">
        <v>1</v>
      </c>
      <c r="G79" s="25" t="s">
        <v>64</v>
      </c>
      <c r="H79" s="57"/>
    </row>
    <row r="80" spans="1:8" x14ac:dyDescent="0.35">
      <c r="A80" s="12" t="s">
        <v>40</v>
      </c>
      <c r="B80" s="13">
        <f>SUBTOTAL(109,HealthAndSafetyNumbersTaken[Number of individuals taken reported on licence return 2019])</f>
        <v>21</v>
      </c>
      <c r="C80" s="13">
        <f>SUBTOTAL(109,HealthAndSafetyNumbersTaken[Number of individuals taken reported on licence return 2020])</f>
        <v>162</v>
      </c>
      <c r="D80" s="13">
        <f>SUBTOTAL(109,HealthAndSafetyNumbersTaken[Number of individuals taken reported on licence return 2021])</f>
        <v>126</v>
      </c>
      <c r="E80" s="13">
        <f>SUBTOTAL(109,HealthAndSafetyNumbersTaken[Number of individuals taken reported on licence return 2022])</f>
        <v>37</v>
      </c>
      <c r="F80" s="13">
        <f>SUBTOTAL(109,HealthAndSafetyNumbersTaken[Number of individuals taken reported on licence return 2023])</f>
        <v>59</v>
      </c>
      <c r="G80" s="13">
        <f>SUBTOTAL(109,HealthAndSafetyNumbersTaken[Number of individuals taken reported on licence return 2024])</f>
        <v>10</v>
      </c>
      <c r="H80" s="57"/>
    </row>
    <row r="81" spans="1:6" x14ac:dyDescent="0.35">
      <c r="A81" s="2"/>
      <c r="B81" s="2"/>
      <c r="C81" s="2"/>
      <c r="D81" s="2"/>
      <c r="E81" s="2"/>
      <c r="F81" s="2"/>
    </row>
  </sheetData>
  <mergeCells count="1">
    <mergeCell ref="B54:F54"/>
  </mergeCells>
  <phoneticPr fontId="10" type="noConversion"/>
  <pageMargins left="0.7" right="0.7" top="0.75" bottom="0.75" header="0.3" footer="0.3"/>
  <pageSetup paperSize="9" orientation="portrait" r:id="rId1"/>
  <tableParts count="3">
    <tablePart r:id="rId2"/>
    <tablePart r:id="rId3"/>
    <tablePart r:id="rId4"/>
  </tableParts>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71FFD1B571BE2883E0537D20C80A46C7" version="1.0.0">
  <systemFields>
    <field name="Objective-Id">
      <value order="0">A4162214</value>
    </field>
    <field name="Objective-Title">
      <value order="0">Lethal Control Data - June 2019 to December 2025</value>
    </field>
    <field name="Objective-Description">
      <value order="0"/>
    </field>
    <field name="Objective-CreationStamp">
      <value order="0">2023-08-10T14:36:43Z</value>
    </field>
    <field name="Objective-IsApproved">
      <value order="0">false</value>
    </field>
    <field name="Objective-IsPublished">
      <value order="0">true</value>
    </field>
    <field name="Objective-DatePublished">
      <value order="0">2026-03-27T10:59:42Z</value>
    </field>
    <field name="Objective-ModificationStamp">
      <value order="0">2026-03-27T10:59:43Z</value>
    </field>
    <field name="Objective-Owner">
      <value order="0">Amy Kidd</value>
    </field>
    <field name="Objective-Path">
      <value order="0">Objective Global Folder:NatureScot Fileplan:SPE - Species:LIC - Licensing:ENQ - Enquiries and Advice:Licence Reports - 2026 onwards</value>
    </field>
    <field name="Objective-Parent">
      <value order="0">Licence Reports - 2026 onwards</value>
    </field>
    <field name="Objective-State">
      <value order="0">Published</value>
    </field>
    <field name="Objective-VersionId">
      <value order="0">vA10099346</value>
    </field>
    <field name="Objective-Version">
      <value order="0">25.0</value>
    </field>
    <field name="Objective-VersionNumber">
      <value order="0">25</value>
    </field>
    <field name="Objective-VersionComment">
      <value order="0"/>
    </field>
    <field name="Objective-FileNumber">
      <value order="0">qA192055</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How to use this workbook</vt:lpstr>
      <vt:lpstr>Air Safety</vt:lpstr>
      <vt:lpstr>Beaver</vt:lpstr>
      <vt:lpstr>Birds - Other</vt:lpstr>
      <vt:lpstr>Fish-eating Birds</vt:lpstr>
      <vt:lpstr>Geese</vt:lpstr>
      <vt:lpstr>Gulls</vt:lpstr>
      <vt:lpstr>Hare</vt:lpstr>
      <vt:lpstr>Health and Safety</vt:lpstr>
      <vt:lpstr>Hunting with Dogs</vt:lpstr>
      <vt:lpstr>Raven</vt:lpstr>
      <vt:lpstr>Red Grouse</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2026-03-27T10:58:09Z</dcterms:created>
  <dcterms:modified xsi:type="dcterms:W3CDTF">2026-03-27T10:59:33Z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MSIP_Label_ad6aba11-eede-4e5b-a79a-2f2784cd251f_Enabled">
    <vt:lpwstr>true</vt:lpwstr>
  </op:property>
  <op:property fmtid="{D5CDD505-2E9C-101B-9397-08002B2CF9AE}" pid="3" name="MSIP_Label_ad6aba11-eede-4e5b-a79a-2f2784cd251f_SetDate">
    <vt:lpwstr>2026-03-27T10:58:28Z</vt:lpwstr>
  </op:property>
  <op:property fmtid="{D5CDD505-2E9C-101B-9397-08002B2CF9AE}" pid="4" name="MSIP_Label_ad6aba11-eede-4e5b-a79a-2f2784cd251f_Method">
    <vt:lpwstr>Standard</vt:lpwstr>
  </op:property>
  <op:property fmtid="{D5CDD505-2E9C-101B-9397-08002B2CF9AE}" pid="5" name="MSIP_Label_ad6aba11-eede-4e5b-a79a-2f2784cd251f_Name">
    <vt:lpwstr>defa4170-0d19-0005-0004-bc88714345d2</vt:lpwstr>
  </op:property>
  <op:property fmtid="{D5CDD505-2E9C-101B-9397-08002B2CF9AE}" pid="6" name="MSIP_Label_ad6aba11-eede-4e5b-a79a-2f2784cd251f_SiteId">
    <vt:lpwstr>074028c0-e165-4999-99ad-31603ad73bac</vt:lpwstr>
  </op:property>
  <op:property fmtid="{D5CDD505-2E9C-101B-9397-08002B2CF9AE}" pid="7" name="MSIP_Label_ad6aba11-eede-4e5b-a79a-2f2784cd251f_ActionId">
    <vt:lpwstr>4d6293fb-1b8b-48d4-9a64-270a52ae3f86</vt:lpwstr>
  </op:property>
  <op:property fmtid="{D5CDD505-2E9C-101B-9397-08002B2CF9AE}" pid="8" name="MSIP_Label_ad6aba11-eede-4e5b-a79a-2f2784cd251f_ContentBits">
    <vt:lpwstr>0</vt:lpwstr>
  </op:property>
  <op:property fmtid="{D5CDD505-2E9C-101B-9397-08002B2CF9AE}" pid="9" name="MSIP_Label_ad6aba11-eede-4e5b-a79a-2f2784cd251f_Tag">
    <vt:lpwstr>10, 3, 0, 1</vt:lpwstr>
  </op:property>
  <op:property fmtid="{D5CDD505-2E9C-101B-9397-08002B2CF9AE}" pid="10" name="Customer-Id">
    <vt:lpwstr>71FFD1B571BE2883E0537D20C80A46C7</vt:lpwstr>
  </op:property>
  <op:property fmtid="{D5CDD505-2E9C-101B-9397-08002B2CF9AE}" pid="11" name="Objective-Id">
    <vt:lpwstr>A4162214</vt:lpwstr>
  </op:property>
  <op:property fmtid="{D5CDD505-2E9C-101B-9397-08002B2CF9AE}" pid="12" name="Objective-Title">
    <vt:lpwstr>Lethal Control Data - June 2019 to December 2025</vt:lpwstr>
  </op:property>
  <op:property fmtid="{D5CDD505-2E9C-101B-9397-08002B2CF9AE}" pid="13" name="Objective-Description">
    <vt:lpwstr/>
  </op:property>
  <op:property fmtid="{D5CDD505-2E9C-101B-9397-08002B2CF9AE}" pid="14" name="Objective-CreationStamp">
    <vt:filetime>2023-08-10T14:36:43Z</vt:filetime>
  </op:property>
  <op:property fmtid="{D5CDD505-2E9C-101B-9397-08002B2CF9AE}" pid="15" name="Objective-IsApproved">
    <vt:bool>false</vt:bool>
  </op:property>
  <op:property fmtid="{D5CDD505-2E9C-101B-9397-08002B2CF9AE}" pid="16" name="Objective-IsPublished">
    <vt:bool>true</vt:bool>
  </op:property>
  <op:property fmtid="{D5CDD505-2E9C-101B-9397-08002B2CF9AE}" pid="17" name="Objective-DatePublished">
    <vt:filetime>2026-03-27T10:59:42Z</vt:filetime>
  </op:property>
  <op:property fmtid="{D5CDD505-2E9C-101B-9397-08002B2CF9AE}" pid="18" name="Objective-ModificationStamp">
    <vt:filetime>2026-03-27T10:59:43Z</vt:filetime>
  </op:property>
  <op:property fmtid="{D5CDD505-2E9C-101B-9397-08002B2CF9AE}" pid="19" name="Objective-Owner">
    <vt:lpwstr>Amy Kidd</vt:lpwstr>
  </op:property>
  <op:property fmtid="{D5CDD505-2E9C-101B-9397-08002B2CF9AE}" pid="20" name="Objective-Path">
    <vt:lpwstr>Objective Global Folder:NatureScot Fileplan:SPE - Species:LIC - Licensing:ENQ - Enquiries and Advice:Licence Reports - 2026 onwards</vt:lpwstr>
  </op:property>
  <op:property fmtid="{D5CDD505-2E9C-101B-9397-08002B2CF9AE}" pid="21" name="Objective-Parent">
    <vt:lpwstr>Licence Reports - 2026 onwards</vt:lpwstr>
  </op:property>
  <op:property fmtid="{D5CDD505-2E9C-101B-9397-08002B2CF9AE}" pid="22" name="Objective-State">
    <vt:lpwstr>Published</vt:lpwstr>
  </op:property>
  <op:property fmtid="{D5CDD505-2E9C-101B-9397-08002B2CF9AE}" pid="23" name="Objective-VersionId">
    <vt:lpwstr>vA10099346</vt:lpwstr>
  </op:property>
  <op:property fmtid="{D5CDD505-2E9C-101B-9397-08002B2CF9AE}" pid="24" name="Objective-Version">
    <vt:lpwstr>25.0</vt:lpwstr>
  </op:property>
  <op:property fmtid="{D5CDD505-2E9C-101B-9397-08002B2CF9AE}" pid="25" name="Objective-VersionNumber">
    <vt:r8>25</vt:r8>
  </op:property>
  <op:property fmtid="{D5CDD505-2E9C-101B-9397-08002B2CF9AE}" pid="26" name="Objective-VersionComment">
    <vt:lpwstr/>
  </op:property>
  <op:property fmtid="{D5CDD505-2E9C-101B-9397-08002B2CF9AE}" pid="27" name="Objective-FileNumber">
    <vt:lpwstr>qA192055</vt:lpwstr>
  </op:property>
  <op:property fmtid="{D5CDD505-2E9C-101B-9397-08002B2CF9AE}" pid="28" name="Objective-Classification">
    <vt:lpwstr/>
  </op:property>
  <op:property fmtid="{D5CDD505-2E9C-101B-9397-08002B2CF9AE}" pid="29" name="Objective-Caveats">
    <vt:lpwstr/>
  </op:property>
  <op:property fmtid="{D5CDD505-2E9C-101B-9397-08002B2CF9AE}" pid="30" name="Objective-Date of Original">
    <vt:lpwstr/>
  </op:property>
  <op:property fmtid="{D5CDD505-2E9C-101B-9397-08002B2CF9AE}" pid="31" name="Objective-Sensitivity Review Date">
    <vt:lpwstr/>
  </op:property>
  <op:property fmtid="{D5CDD505-2E9C-101B-9397-08002B2CF9AE}" pid="32" name="Objective-FOI Exemption">
    <vt:lpwstr>Release</vt:lpwstr>
  </op:property>
  <op:property fmtid="{D5CDD505-2E9C-101B-9397-08002B2CF9AE}" pid="33" name="Objective-DPA Exemption">
    <vt:lpwstr>Release</vt:lpwstr>
  </op:property>
  <op:property fmtid="{D5CDD505-2E9C-101B-9397-08002B2CF9AE}" pid="34" name="Objective-EIR Exception">
    <vt:lpwstr>Release</vt:lpwstr>
  </op:property>
  <op:property fmtid="{D5CDD505-2E9C-101B-9397-08002B2CF9AE}" pid="35" name="Objective-Justification">
    <vt:lpwstr/>
  </op:property>
  <op:property fmtid="{D5CDD505-2E9C-101B-9397-08002B2CF9AE}" pid="36" name="Objective-Date of Request">
    <vt:lpwstr/>
  </op:property>
  <op:property fmtid="{D5CDD505-2E9C-101B-9397-08002B2CF9AE}" pid="37" name="Objective-Date of Release">
    <vt:lpwstr/>
  </op:property>
  <op:property fmtid="{D5CDD505-2E9C-101B-9397-08002B2CF9AE}" pid="38" name="Objective-FOI/EIR Disclosure Date">
    <vt:lpwstr/>
  </op:property>
  <op:property fmtid="{D5CDD505-2E9C-101B-9397-08002B2CF9AE}" pid="39" name="Objective-FOI/EIR Dissemination Date">
    <vt:lpwstr/>
  </op:property>
  <op:property fmtid="{D5CDD505-2E9C-101B-9397-08002B2CF9AE}" pid="40" name="Objective-FOI Release Details">
    <vt:lpwstr/>
  </op:property>
  <op:property fmtid="{D5CDD505-2E9C-101B-9397-08002B2CF9AE}" pid="41" name="Objective-Connect Creator">
    <vt:lpwstr/>
  </op:property>
</op:Properties>
</file>