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C:\GIS\21-NAT-003\Updated Repaired Blanket Bog Protocol Feb 26\DR fix of Garpel repair 260320\"/>
    </mc:Choice>
  </mc:AlternateContent>
  <xr:revisionPtr revIDLastSave="0" documentId="13_ncr:1_{4B01E1CF-BB04-4437-B98A-9DED59628DFE}" xr6:coauthVersionLast="47" xr6:coauthVersionMax="47" xr10:uidLastSave="{00000000-0000-0000-0000-000000000000}"/>
  <workbookProtection workbookAlgorithmName="SHA-512" workbookHashValue="gGCJsDyiRhHP36qnwxDQz6TNTCKQJYmjlpB8T9DHEnwpidFAYdVcGKpLUNkqaEzuFMvFD9GXQzYyv5VPTrTlkw==" workbookSaltValue="rwkYojGBZGC7l1Pe+uHy+A==" workbookSpinCount="100000" lockStructure="1"/>
  <bookViews>
    <workbookView xWindow="28680" yWindow="-120" windowWidth="29040" windowHeight="15720" xr2:uid="{00000000-000D-0000-FFFF-FFFF00000000}"/>
  </bookViews>
  <sheets>
    <sheet name="Front Sheet" sheetId="5" r:id="rId1"/>
    <sheet name="1. Pre-Restoration Likelihood" sheetId="1" r:id="rId2"/>
    <sheet name="2. Post-restoration Likelihood" sheetId="2" r:id="rId3"/>
    <sheet name="3. Consequence and Risk" sheetId="3" r:id="rId4"/>
    <sheet name="Summary Form" sheetId="4" r:id="rId5"/>
    <sheet name="Drop Down Options" sheetId="6" state="hidden" r:id="rId6"/>
  </sheets>
  <definedNames>
    <definedName name="_xlnm._FilterDatabase" localSheetId="4" hidden="1">'Summary Form'!$D$13:$F$13</definedName>
    <definedName name="_xlnm.Print_Area" localSheetId="4">'Summary Form'!$A$1:$I$54</definedName>
    <definedName name="Z_29A0FFCF_8AE3_4D83_B2A0_5792604909C6_.wvu.Cols" localSheetId="1" hidden="1">'1. Pre-Restoration Likelihood'!$M:$N</definedName>
    <definedName name="Z_29A0FFCF_8AE3_4D83_B2A0_5792604909C6_.wvu.Cols" localSheetId="2" hidden="1">'2. Post-restoration Likelihood'!$F:$G</definedName>
    <definedName name="Z_29A0FFCF_8AE3_4D83_B2A0_5792604909C6_.wvu.Cols" localSheetId="3" hidden="1">'3. Consequence and Risk'!$L:$M</definedName>
    <definedName name="Z_29A0FFCF_8AE3_4D83_B2A0_5792604909C6_.wvu.Cols" localSheetId="4" hidden="1">'Summary Form'!$K:$K</definedName>
    <definedName name="Z_29A0FFCF_8AE3_4D83_B2A0_5792604909C6_.wvu.FilterData" localSheetId="4" hidden="1">'Summary Form'!$D$13:$F$13</definedName>
    <definedName name="Z_29A0FFCF_8AE3_4D83_B2A0_5792604909C6_.wvu.PrintArea" localSheetId="4" hidden="1">'Summary Form'!$A$1:$I$54</definedName>
    <definedName name="Z_29A0FFCF_8AE3_4D83_B2A0_5792604909C6_.wvu.Rows" localSheetId="1" hidden="1">'1. Pre-Restoration Likelihood'!$144:$182</definedName>
    <definedName name="Z_29A0FFCF_8AE3_4D83_B2A0_5792604909C6_.wvu.Rows" localSheetId="2" hidden="1">'2. Post-restoration Likelihood'!$3:$3,'2. Post-restoration Likelihood'!$40:$43,'2. Post-restoration Likelihood'!$56:$114</definedName>
    <definedName name="Z_B7C3FE13_4183_40D1_BE36_A4B701770209_.wvu.Cols" localSheetId="1" hidden="1">'1. Pre-Restoration Likelihood'!$M:$N</definedName>
    <definedName name="Z_B7C3FE13_4183_40D1_BE36_A4B701770209_.wvu.Cols" localSheetId="2" hidden="1">'2. Post-restoration Likelihood'!$F:$G</definedName>
    <definedName name="Z_B7C3FE13_4183_40D1_BE36_A4B701770209_.wvu.Cols" localSheetId="3" hidden="1">'3. Consequence and Risk'!$L:$M</definedName>
    <definedName name="Z_B7C3FE13_4183_40D1_BE36_A4B701770209_.wvu.Cols" localSheetId="4" hidden="1">'Summary Form'!$K:$K</definedName>
    <definedName name="Z_B7C3FE13_4183_40D1_BE36_A4B701770209_.wvu.FilterData" localSheetId="4" hidden="1">'Summary Form'!$D$13:$F$13</definedName>
    <definedName name="Z_B7C3FE13_4183_40D1_BE36_A4B701770209_.wvu.PrintArea" localSheetId="4" hidden="1">'Summary Form'!$A$1:$I$54</definedName>
    <definedName name="Z_B7C3FE13_4183_40D1_BE36_A4B701770209_.wvu.Rows" localSheetId="1" hidden="1">'1. Pre-Restoration Likelihood'!$144:$182</definedName>
    <definedName name="Z_B7C3FE13_4183_40D1_BE36_A4B701770209_.wvu.Rows" localSheetId="2" hidden="1">'2. Post-restoration Likelihood'!$3:$3,'2. Post-restoration Likelihood'!$40:$43,'2. Post-restoration Likelihood'!$56:$114</definedName>
    <definedName name="Z_F08D193B_2F97_40D9_A4DD_4A4E62D6CC62_.wvu.Cols" localSheetId="1" hidden="1">'1. Pre-Restoration Likelihood'!$M:$N</definedName>
    <definedName name="Z_F08D193B_2F97_40D9_A4DD_4A4E62D6CC62_.wvu.Cols" localSheetId="2" hidden="1">'2. Post-restoration Likelihood'!$F:$G</definedName>
    <definedName name="Z_F08D193B_2F97_40D9_A4DD_4A4E62D6CC62_.wvu.Cols" localSheetId="3" hidden="1">'3. Consequence and Risk'!$L:$M</definedName>
    <definedName name="Z_F08D193B_2F97_40D9_A4DD_4A4E62D6CC62_.wvu.Cols" localSheetId="4" hidden="1">'Summary Form'!$K:$K</definedName>
    <definedName name="Z_F08D193B_2F97_40D9_A4DD_4A4E62D6CC62_.wvu.FilterData" localSheetId="4" hidden="1">'Summary Form'!$D$13:$F$13</definedName>
    <definedName name="Z_F08D193B_2F97_40D9_A4DD_4A4E62D6CC62_.wvu.PrintArea" localSheetId="4" hidden="1">'Summary Form'!$A$1:$I$54</definedName>
    <definedName name="Z_F08D193B_2F97_40D9_A4DD_4A4E62D6CC62_.wvu.Rows" localSheetId="1" hidden="1">'1. Pre-Restoration Likelihood'!$144:$182</definedName>
    <definedName name="Z_F08D193B_2F97_40D9_A4DD_4A4E62D6CC62_.wvu.Rows" localSheetId="2" hidden="1">'2. Post-restoration Likelihood'!$3:$3,'2. Post-restoration Likelihood'!$40:$43,'2. Post-restoration Likelihood'!$56:$114</definedName>
    <definedName name="Z_F17311CF_9914_40DA_8951_266454DC12F5_.wvu.Cols" localSheetId="1" hidden="1">'1. Pre-Restoration Likelihood'!$M:$N</definedName>
    <definedName name="Z_F17311CF_9914_40DA_8951_266454DC12F5_.wvu.Cols" localSheetId="2" hidden="1">'2. Post-restoration Likelihood'!$F:$G</definedName>
    <definedName name="Z_F17311CF_9914_40DA_8951_266454DC12F5_.wvu.Cols" localSheetId="3" hidden="1">'3. Consequence and Risk'!$L:$M</definedName>
    <definedName name="Z_F17311CF_9914_40DA_8951_266454DC12F5_.wvu.Cols" localSheetId="4" hidden="1">'Summary Form'!$K:$K</definedName>
    <definedName name="Z_F17311CF_9914_40DA_8951_266454DC12F5_.wvu.FilterData" localSheetId="4" hidden="1">'Summary Form'!$D$13:$F$13</definedName>
    <definedName name="Z_F17311CF_9914_40DA_8951_266454DC12F5_.wvu.PrintArea" localSheetId="4" hidden="1">'Summary Form'!$A$1:$I$54</definedName>
    <definedName name="Z_F17311CF_9914_40DA_8951_266454DC12F5_.wvu.Rows" localSheetId="1" hidden="1">'1. Pre-Restoration Likelihood'!$144:$182</definedName>
    <definedName name="Z_F17311CF_9914_40DA_8951_266454DC12F5_.wvu.Rows" localSheetId="2" hidden="1">'2. Post-restoration Likelihood'!$3:$3,'2. Post-restoration Likelihood'!$40:$43,'2. Post-restoration Likelihood'!$56:$114</definedName>
    <definedName name="Z_FC848FF0_660B_4750_8525_7139E9D1F87C_.wvu.Cols" localSheetId="1" hidden="1">'1. Pre-Restoration Likelihood'!$M:$N</definedName>
    <definedName name="Z_FC848FF0_660B_4750_8525_7139E9D1F87C_.wvu.Cols" localSheetId="2" hidden="1">'2. Post-restoration Likelihood'!$F:$G</definedName>
    <definedName name="Z_FC848FF0_660B_4750_8525_7139E9D1F87C_.wvu.Cols" localSheetId="3" hidden="1">'3. Consequence and Risk'!$L:$M</definedName>
    <definedName name="Z_FC848FF0_660B_4750_8525_7139E9D1F87C_.wvu.Cols" localSheetId="4" hidden="1">'Summary Form'!$K:$K</definedName>
    <definedName name="Z_FC848FF0_660B_4750_8525_7139E9D1F87C_.wvu.FilterData" localSheetId="4" hidden="1">'Summary Form'!$D$13:$F$13</definedName>
    <definedName name="Z_FC848FF0_660B_4750_8525_7139E9D1F87C_.wvu.PrintArea" localSheetId="4" hidden="1">'Summary Form'!$A$1:$I$54</definedName>
    <definedName name="Z_FC848FF0_660B_4750_8525_7139E9D1F87C_.wvu.Rows" localSheetId="1" hidden="1">'1. Pre-Restoration Likelihood'!$144:$182</definedName>
    <definedName name="Z_FC848FF0_660B_4750_8525_7139E9D1F87C_.wvu.Rows" localSheetId="2" hidden="1">'2. Post-restoration Likelihood'!$3:$3,'2. Post-restoration Likelihood'!$40:$43,'2. Post-restoration Likelihood'!$56:$114</definedName>
  </definedNames>
  <calcPr calcId="191029"/>
  <customWorkbookViews>
    <customWorkbookView name="Default_Summary" guid="{29A0FFCF-8AE3-4D83-B2A0-5792604909C6}" maximized="1" xWindow="1912" yWindow="-8" windowWidth="1936" windowHeight="1048" activeSheetId="4"/>
    <customWorkbookView name="Default_Sheet3" guid="{F17311CF-9914-40DA-8951-266454DC12F5}" maximized="1" xWindow="1912" yWindow="-8" windowWidth="1936" windowHeight="1048" activeSheetId="3"/>
    <customWorkbookView name="Default_Sheet2" guid="{FC848FF0-660B-4750-8525-7139E9D1F87C}" maximized="1" xWindow="1912" yWindow="-8" windowWidth="1936" windowHeight="1048" activeSheetId="2"/>
    <customWorkbookView name="Default_Sheet1" guid="{F08D193B-2F97-40D9-A4DD-4A4E62D6CC62}" maximized="1" xWindow="1912" yWindow="-8" windowWidth="1936" windowHeight="1048" activeSheetId="1"/>
    <customWorkbookView name="Default_View" guid="{B7C3FE13-4183-40D1-BE36-A4B701770209}" maximized="1" xWindow="1912" yWindow="-8" windowWidth="1936" windowHeight="1048"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3" i="3" l="1"/>
  <c r="N9" i="3"/>
  <c r="L10" i="3"/>
  <c r="N28" i="3"/>
  <c r="N20" i="3"/>
  <c r="N15" i="3"/>
  <c r="N4" i="3"/>
  <c r="L29" i="3"/>
  <c r="K45" i="4" l="1" a="1"/>
  <c r="K45" i="4" s="1"/>
  <c r="K44" i="4" a="1"/>
  <c r="K44" i="4" s="1"/>
  <c r="L39" i="3" l="1"/>
  <c r="E13" i="2" l="1"/>
  <c r="E39" i="2"/>
  <c r="E38" i="2"/>
  <c r="E12" i="2"/>
  <c r="E11" i="2"/>
  <c r="E37" i="2"/>
  <c r="E36" i="2"/>
  <c r="E10" i="2"/>
  <c r="E9" i="2"/>
  <c r="L28" i="3" l="1"/>
  <c r="L25" i="3" l="1"/>
  <c r="L24" i="3"/>
  <c r="L22" i="3"/>
  <c r="L21" i="3"/>
  <c r="L16" i="3"/>
  <c r="N16" i="3" s="1"/>
  <c r="L20" i="3"/>
  <c r="L15" i="3"/>
  <c r="L9" i="3"/>
  <c r="L8" i="3"/>
  <c r="N8" i="3" s="1"/>
  <c r="L7" i="3" l="1"/>
  <c r="F33" i="2" l="1"/>
  <c r="F32" i="2"/>
  <c r="F31" i="2"/>
  <c r="F29" i="2"/>
  <c r="F28" i="2"/>
  <c r="F25" i="2"/>
  <c r="F23" i="2"/>
  <c r="F22" i="2"/>
  <c r="F21" i="2"/>
  <c r="F19" i="2"/>
  <c r="F18" i="2"/>
  <c r="F16" i="2"/>
  <c r="F15" i="2"/>
  <c r="F39" i="2"/>
  <c r="F38" i="2"/>
  <c r="F37" i="2"/>
  <c r="F36" i="2"/>
  <c r="F35" i="2"/>
  <c r="E35" i="2"/>
  <c r="F12" i="2"/>
  <c r="F11" i="2"/>
  <c r="F10" i="2"/>
  <c r="F9" i="2"/>
  <c r="F8" i="2"/>
  <c r="N98" i="1"/>
  <c r="M98" i="1"/>
  <c r="L101" i="1"/>
  <c r="F43" i="2" l="1"/>
  <c r="F42" i="2"/>
  <c r="F41" i="2"/>
  <c r="E8" i="2"/>
  <c r="L43" i="3" l="1"/>
  <c r="L42" i="3"/>
  <c r="L23" i="3"/>
  <c r="C54" i="4" l="1"/>
  <c r="L31" i="3" l="1"/>
  <c r="L30" i="3"/>
  <c r="E33" i="2"/>
  <c r="E32" i="2"/>
  <c r="E31" i="2"/>
  <c r="E29" i="2"/>
  <c r="E28" i="2"/>
  <c r="E25" i="2"/>
  <c r="E22" i="2"/>
  <c r="E23" i="2"/>
  <c r="E21" i="2"/>
  <c r="E19" i="2"/>
  <c r="E18" i="2"/>
  <c r="E16" i="2"/>
  <c r="E15" i="2"/>
  <c r="N111" i="1" l="1"/>
  <c r="M111" i="1"/>
  <c r="N85" i="1"/>
  <c r="M85" i="1"/>
  <c r="N72" i="1"/>
  <c r="M72" i="1"/>
  <c r="N59" i="1"/>
  <c r="M59" i="1"/>
  <c r="N47" i="1"/>
  <c r="M47" i="1"/>
  <c r="N35" i="1"/>
  <c r="M35" i="1"/>
  <c r="N20" i="1"/>
  <c r="M20" i="1"/>
  <c r="N6" i="1"/>
  <c r="M6" i="1"/>
  <c r="L35" i="3" l="1"/>
  <c r="L34" i="3"/>
  <c r="L36" i="3"/>
  <c r="L37" i="3"/>
  <c r="L38" i="3"/>
  <c r="L14" i="3" l="1"/>
  <c r="E18" i="6" l="1"/>
  <c r="G18" i="6" s="1"/>
  <c r="F17" i="6"/>
  <c r="E17" i="6"/>
  <c r="F16" i="6"/>
  <c r="E16" i="6"/>
  <c r="F15" i="6"/>
  <c r="E15" i="6"/>
  <c r="F14" i="6"/>
  <c r="E14" i="6"/>
  <c r="F13" i="6"/>
  <c r="E13" i="6"/>
  <c r="F12" i="6"/>
  <c r="G12" i="6" s="1"/>
  <c r="E81" i="2"/>
  <c r="E79" i="2"/>
  <c r="E78" i="2"/>
  <c r="E75" i="2"/>
  <c r="E74" i="2"/>
  <c r="E65" i="2"/>
  <c r="E64" i="2"/>
  <c r="E63" i="2"/>
  <c r="E62" i="2"/>
  <c r="L168" i="1"/>
  <c r="L170" i="1" s="1"/>
  <c r="E82" i="2" s="1"/>
  <c r="L165" i="1"/>
  <c r="E77" i="2" s="1"/>
  <c r="L164" i="1"/>
  <c r="E76" i="2" s="1"/>
  <c r="L155" i="1"/>
  <c r="L154" i="1"/>
  <c r="E66" i="2" s="1"/>
  <c r="L148" i="1"/>
  <c r="L149" i="1" s="1"/>
  <c r="E61" i="2" s="1"/>
  <c r="L147" i="1"/>
  <c r="E59" i="2" s="1"/>
  <c r="E73" i="2" s="1"/>
  <c r="L146" i="1"/>
  <c r="L44" i="1"/>
  <c r="G14" i="6" l="1"/>
  <c r="G15" i="6"/>
  <c r="G16" i="6"/>
  <c r="E80" i="2"/>
  <c r="L171" i="1"/>
  <c r="E83" i="2" s="1"/>
  <c r="G17" i="6"/>
  <c r="L157" i="1"/>
  <c r="E69" i="2" s="1"/>
  <c r="M37" i="1"/>
  <c r="N37" i="1"/>
  <c r="G13" i="6"/>
  <c r="E67" i="2"/>
  <c r="E58" i="2"/>
  <c r="E60" i="2"/>
  <c r="M36" i="1" l="1"/>
  <c r="M137" i="1" s="1"/>
  <c r="N36" i="1"/>
  <c r="N137" i="1" s="1"/>
  <c r="L156" i="1"/>
  <c r="E68" i="2" s="1"/>
  <c r="L158" i="1" l="1"/>
  <c r="E70" i="2" s="1"/>
  <c r="E84" i="2" s="1"/>
  <c r="F84" i="2" s="1"/>
  <c r="L137" i="1"/>
  <c r="F44" i="2" l="1"/>
  <c r="C46" i="2" s="1"/>
  <c r="H26" i="4" s="1"/>
  <c r="H137" i="1"/>
  <c r="H139" i="1" s="1"/>
  <c r="L159" i="1"/>
  <c r="L172" i="1"/>
  <c r="E85" i="2"/>
  <c r="F85" i="2" s="1"/>
  <c r="E86" i="2"/>
  <c r="F86" i="2" s="1"/>
  <c r="E71" i="2"/>
  <c r="F71" i="2" s="1"/>
  <c r="E87" i="2"/>
  <c r="F87" i="2" s="1"/>
  <c r="E50" i="2" l="1"/>
  <c r="H27" i="4" s="1"/>
  <c r="M23" i="3"/>
  <c r="M39" i="3"/>
  <c r="N39" i="3" s="1"/>
  <c r="L142" i="1"/>
  <c r="G19" i="4" s="1"/>
  <c r="C47" i="2"/>
  <c r="M29" i="3"/>
  <c r="N29" i="3" s="1"/>
  <c r="M38" i="3"/>
  <c r="N38" i="3" s="1"/>
  <c r="M22" i="3"/>
  <c r="N22" i="3" s="1"/>
  <c r="M16" i="3"/>
  <c r="M24" i="3"/>
  <c r="N24" i="3" s="1"/>
  <c r="M25" i="3"/>
  <c r="N25" i="3" s="1"/>
  <c r="M15" i="3"/>
  <c r="M20" i="3"/>
  <c r="M21" i="3"/>
  <c r="N21" i="3" s="1"/>
  <c r="M28" i="3"/>
  <c r="M42" i="3"/>
  <c r="N42" i="3" s="1"/>
  <c r="M43" i="3"/>
  <c r="N43" i="3" s="1"/>
  <c r="M7" i="3"/>
  <c r="N7" i="3" s="1"/>
  <c r="H138" i="1"/>
  <c r="M37" i="3"/>
  <c r="N37" i="3" s="1"/>
  <c r="G18" i="4"/>
  <c r="M8" i="3"/>
  <c r="M35" i="3"/>
  <c r="N35" i="3" s="1"/>
  <c r="M10" i="3"/>
  <c r="N10" i="3" s="1"/>
  <c r="M30" i="3"/>
  <c r="N30" i="3" s="1"/>
  <c r="M14" i="3"/>
  <c r="N14" i="3" s="1"/>
  <c r="M36" i="3"/>
  <c r="N36" i="3" s="1"/>
  <c r="M9" i="3"/>
  <c r="M31" i="3"/>
  <c r="N31" i="3" s="1"/>
  <c r="M34" i="3"/>
  <c r="N34" i="3" s="1"/>
  <c r="N45" i="3" l="1"/>
  <c r="F44" i="4" s="1"/>
  <c r="A49" i="3" l="1"/>
  <c r="A4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Rushton</author>
  </authors>
  <commentList>
    <comment ref="L163" authorId="0" shapeId="0" xr:uid="{00000000-0006-0000-0100-000001000000}">
      <text>
        <r>
          <rPr>
            <b/>
            <sz val="9"/>
            <color indexed="81"/>
            <rFont val="Tahoma"/>
            <family val="2"/>
          </rPr>
          <t>David Rushton:</t>
        </r>
        <r>
          <rPr>
            <sz val="9"/>
            <color indexed="81"/>
            <rFont val="Tahoma"/>
            <family val="2"/>
          </rPr>
          <t xml:space="preserve">
Based on Linday (2005) indication that cracks can be as much as 70cm</t>
        </r>
      </text>
    </comment>
    <comment ref="L168" authorId="0" shapeId="0" xr:uid="{00000000-0006-0000-0100-000002000000}">
      <text>
        <r>
          <rPr>
            <b/>
            <sz val="9"/>
            <color indexed="81"/>
            <rFont val="Tahoma"/>
            <family val="2"/>
          </rPr>
          <t>David Rushton:</t>
        </r>
        <r>
          <rPr>
            <sz val="9"/>
            <color indexed="81"/>
            <rFont val="Tahoma"/>
            <family val="2"/>
          </rPr>
          <t xml:space="preserve">
Based on a sikta spruce density of 0.35g/cm3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Rushton</author>
  </authors>
  <commentList>
    <comment ref="E75" authorId="0" shapeId="0" xr:uid="{00000000-0006-0000-0200-000001000000}">
      <text>
        <r>
          <rPr>
            <b/>
            <sz val="9"/>
            <color indexed="81"/>
            <rFont val="Tahoma"/>
            <family val="2"/>
          </rPr>
          <t>David Rushton:</t>
        </r>
        <r>
          <rPr>
            <sz val="9"/>
            <color indexed="81"/>
            <rFont val="Tahoma"/>
            <family val="2"/>
          </rPr>
          <t xml:space="preserve">
Based on Linday (2005) indication that cracks can be as much as 70cm</t>
        </r>
      </text>
    </comment>
    <comment ref="E80" authorId="0" shapeId="0" xr:uid="{00000000-0006-0000-0200-000002000000}">
      <text>
        <r>
          <rPr>
            <b/>
            <sz val="9"/>
            <color indexed="81"/>
            <rFont val="Tahoma"/>
            <family val="2"/>
          </rPr>
          <t>David Rushton:</t>
        </r>
        <r>
          <rPr>
            <sz val="9"/>
            <color indexed="81"/>
            <rFont val="Tahoma"/>
            <family val="2"/>
          </rPr>
          <t xml:space="preserve">
Based on a sikta spruce density of 0.35g/cm3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<sst xmlns="http://schemas.openxmlformats.org/spreadsheetml/2006/main" count="818" uniqueCount="466">
  <si>
    <t>How to answer the question</t>
  </si>
  <si>
    <t>Forestry</t>
  </si>
  <si>
    <t>The baseline (pre-restoration) likelihood of a peat landslide is:</t>
  </si>
  <si>
    <t>MODERATE</t>
  </si>
  <si>
    <t>The most likely form of instability is:</t>
  </si>
  <si>
    <t>YES</t>
  </si>
  <si>
    <t>NO</t>
  </si>
  <si>
    <t>iii) What is the average slope angle for the hillside based on elevation data for the site?</t>
  </si>
  <si>
    <t>iv) What is the substrate?</t>
  </si>
  <si>
    <t>v) Which of the following best describes the geomorphology of the peat on site?</t>
  </si>
  <si>
    <t>vi) Are any of the following land uses present over the area to be restored?</t>
  </si>
  <si>
    <t>vii) Which of the following best describes the status and condition of forestry on site?</t>
  </si>
  <si>
    <t>viii) Which of the following best describes the slope profile of the area to be restored?</t>
  </si>
  <si>
    <t>ix) Which of the following best describes artificial drainage in the area to be restored</t>
  </si>
  <si>
    <t>Watercourse and aquatic habitats</t>
  </si>
  <si>
    <t>Terrestrial habitats</t>
  </si>
  <si>
    <t>Infrastructure</t>
  </si>
  <si>
    <t>LOW</t>
  </si>
  <si>
    <t>HIGH</t>
  </si>
  <si>
    <t>VERY HIGH</t>
  </si>
  <si>
    <t>VERY LOW</t>
  </si>
  <si>
    <t>MEDIUM</t>
  </si>
  <si>
    <t>NEGLIGIBLE</t>
  </si>
  <si>
    <t>Mitigation</t>
  </si>
  <si>
    <t>1. Which restoration measures are being adopted?</t>
  </si>
  <si>
    <t>i) Are there any pre-existing peat landslide scars within the area to be restored or nearby?</t>
  </si>
  <si>
    <t>Is there any evidence of a pre-existing peat slide or bog burst within the area to be restored, on the adjacent hillsides, on the other side of the hill or on the opposing valley side. See "How to answer" for examples.</t>
  </si>
  <si>
    <t>Likelihood Scores</t>
  </si>
  <si>
    <t>Peat Slide</t>
  </si>
  <si>
    <t>Bog Burst</t>
  </si>
  <si>
    <t>Enter the slope angle as a 'gradient' (in %), e.g. if using Google Earth's elevation profile tool:</t>
  </si>
  <si>
    <t>Enter the 'rise' (elevation change in m) and 'run' (distance in m over which elevation changes):</t>
  </si>
  <si>
    <t>Enter slope angle:</t>
  </si>
  <si>
    <t>Rise:</t>
  </si>
  <si>
    <t>Run:</t>
  </si>
  <si>
    <t>Angle:</t>
  </si>
  <si>
    <t>Gradient (%):</t>
  </si>
  <si>
    <t>Cohesive (clay) or iron pan</t>
  </si>
  <si>
    <t>Unknown</t>
  </si>
  <si>
    <t>Granular or bedrock</t>
  </si>
  <si>
    <t>What is the material immediately underlying the peat (i.e. within a few centimetres) primarily made up of?</t>
  </si>
  <si>
    <t>See "How to answer" for further guidance.</t>
  </si>
  <si>
    <t>See how to answer for further guidance.</t>
  </si>
  <si>
    <t>Planar with pipes</t>
  </si>
  <si>
    <t>Planar with pools</t>
  </si>
  <si>
    <t>Planar (no other features)</t>
  </si>
  <si>
    <t>Undulating peat among rock outcrops</t>
  </si>
  <si>
    <t>Heavily eroded (extensive hagging)</t>
  </si>
  <si>
    <t>Slightly eroded (isolated gullies)</t>
  </si>
  <si>
    <t>What is the natural geomorphological condition of the area to be restored. This is best determined from either site walkover or review of up-to-date satellite imagery - see "How to answer" for a visual glossary of geomorphological features.</t>
  </si>
  <si>
    <t>Machine cutting</t>
  </si>
  <si>
    <t>Hand cutting (turbary)</t>
  </si>
  <si>
    <t>Other land use</t>
  </si>
  <si>
    <t>What is the primary land use of the area to be restored. This is best determined from site walkover but can also be determined from satellite imagery for some categories of land use.</t>
  </si>
  <si>
    <t>ii) What is the average peat depth (in m) based on the probes collected from site?</t>
  </si>
  <si>
    <t>Afforested, rows aligned</t>
  </si>
  <si>
    <t>Afforested, rows oblique</t>
  </si>
  <si>
    <t>Deforested, rows aligned</t>
  </si>
  <si>
    <t>Deforested, rows oblique</t>
  </si>
  <si>
    <t>Not afforested</t>
  </si>
  <si>
    <t>What is the slope profile (shape as if 'side on') of the hillslope over which restoration is to be carried out. This can be inferred from changes in contour spacing or using Google Earth's elevation profile tool - see "How to answer" guidance.</t>
  </si>
  <si>
    <t>Sheet 2. Post-restoration likelihood</t>
  </si>
  <si>
    <t>Sheet 1. Pre-Restoration Likelihood</t>
  </si>
  <si>
    <t>Convex</t>
  </si>
  <si>
    <t>Concave</t>
  </si>
  <si>
    <t>Rectilinear</t>
  </si>
  <si>
    <t>If the site is afforested over most of the proposed restoration area, please refer to the "How to answer" guidance in order to classify the alignmentof trees (rows) and present (pre-restoration) status of the forest (e.g. felled or afforested). If the site is part-forested, consider splitting the site into separate protocol workbooks.</t>
  </si>
  <si>
    <t>How are the artificial drains on site arranged in the area to be restored? If the site is afforested, drains will be visible as narrow linear breaks in the treeline, often cross-cutting rows of trees. See "How to answer" guidance to help determine drain orientation.</t>
  </si>
  <si>
    <t>Aligned to contour</t>
  </si>
  <si>
    <t>Oblique to contour</t>
  </si>
  <si>
    <t>Aligned to slope</t>
  </si>
  <si>
    <t>Not drained</t>
  </si>
  <si>
    <t>Qualitative description of landslide at the site</t>
  </si>
  <si>
    <t>This means that a landslide at the site is:</t>
  </si>
  <si>
    <t>Based on the landslide susceptibility (contributory factor) approach:</t>
  </si>
  <si>
    <t>Based on the factor of safety (limit equilibrium) approach:</t>
  </si>
  <si>
    <t>x) What type of peat is found at the base of the area to be restored</t>
  </si>
  <si>
    <t>The baseline factor of safety for average site conditions in a fully saturated slope (i.e. ground surface water table) is:</t>
  </si>
  <si>
    <t>The physical composition of the peat at the base of the peat profile (within a few centimetres of its contact with the substrate) provides an indication of its shear strength. Using the simplified descriptions in the "How to answer" guidance, enter the description that best suits the peat observed at site. If no information is entered, the Factor of Safety approach will not be used for comparison.</t>
  </si>
  <si>
    <t>Select 'YES' or 'NO' for all measures being adopted from the list of restoration techniques below.</t>
  </si>
  <si>
    <t>Ditch-blocking (wooden or composite dams)</t>
  </si>
  <si>
    <t>Ditch-blocking (wave dams)</t>
  </si>
  <si>
    <t>Cell / surface bunding</t>
  </si>
  <si>
    <t>Gully reprofiling</t>
  </si>
  <si>
    <t>Gully damming / bunding</t>
  </si>
  <si>
    <t>Forest to bog: tree removal</t>
  </si>
  <si>
    <t>Forest to bog: ground smoothing / stump flipping</t>
  </si>
  <si>
    <t>Scrub removal</t>
  </si>
  <si>
    <t>Net effect on stability</t>
  </si>
  <si>
    <t>Stump flipping only</t>
  </si>
  <si>
    <t>The post-restoration (modified) likelihood of a peat landslide is:</t>
  </si>
  <si>
    <t>Modified likelihood</t>
  </si>
  <si>
    <t>STEP 2. Calculate the post-restoration likelihood of a peat landslide, i.e. the effects of restoration groundworks on the natural likelihood</t>
  </si>
  <si>
    <t>Based on the Factor of Safety approach:</t>
  </si>
  <si>
    <t>Peat Depths</t>
  </si>
  <si>
    <t>1.0 - 1.5</t>
  </si>
  <si>
    <t>0.5 - 1.0</t>
  </si>
  <si>
    <t>1.5 - 2.0</t>
  </si>
  <si>
    <t>2.0 - 2.5</t>
  </si>
  <si>
    <t>2.5 - 3.0</t>
  </si>
  <si>
    <t>3.0 - 3.5</t>
  </si>
  <si>
    <t>3.5 - 4.0</t>
  </si>
  <si>
    <t>4.0 - 4.5</t>
  </si>
  <si>
    <t>4.5 - 5.0</t>
  </si>
  <si>
    <t>5.0 - 5.5</t>
  </si>
  <si>
    <t>5.5 - 6.0</t>
  </si>
  <si>
    <t>6.0 - 6.5</t>
  </si>
  <si>
    <t>6.5 - 7.0</t>
  </si>
  <si>
    <t>7.0 - 7.5</t>
  </si>
  <si>
    <t>7.5 - 8.0</t>
  </si>
  <si>
    <t>8.0 - 8.5</t>
  </si>
  <si>
    <t>8.5 - 9.0</t>
  </si>
  <si>
    <t>9.0 - 9.5</t>
  </si>
  <si>
    <t>9.5 - 10.0</t>
  </si>
  <si>
    <t>0.0 - 0.5</t>
  </si>
  <si>
    <t>2.5 - 5.0</t>
  </si>
  <si>
    <t>5.0 - 7.5</t>
  </si>
  <si>
    <t>10.0 - 12.5</t>
  </si>
  <si>
    <t>12.5 - 15.0</t>
  </si>
  <si>
    <t>7.5 - 10.0</t>
  </si>
  <si>
    <t>0.0 - 2.5</t>
  </si>
  <si>
    <t>&gt;15.0</t>
  </si>
  <si>
    <t>Stump flipping and brash incorporation</t>
  </si>
  <si>
    <t>Stump flipping, brash and stem incorporation</t>
  </si>
  <si>
    <t>For non-afforested bogs only</t>
  </si>
  <si>
    <t>For afforested bogs only:</t>
  </si>
  <si>
    <t>Sheet 3. Consequence and Risk</t>
  </si>
  <si>
    <t>CONSEQUENCE</t>
  </si>
  <si>
    <t>RISK (LIKELIHOOD = MODERATE)</t>
  </si>
  <si>
    <t>RISK (LIKELIHOOD = HIGH)</t>
  </si>
  <si>
    <t>RISK (LIKELIHOOD = VERY HIGH)</t>
  </si>
  <si>
    <t>If yes, go to next question and if no, go to question 3</t>
  </si>
  <si>
    <t>Presence of watercourse:</t>
  </si>
  <si>
    <t>3. Which of the following applies to the terrestrial habitats on site?</t>
  </si>
  <si>
    <t>Groundwater dependent terrestrial ecosystems (GWDTEs) are present</t>
  </si>
  <si>
    <t>Permanently occupied facility (e.g. house, office, other amenity)</t>
  </si>
  <si>
    <t>Public exposure</t>
  </si>
  <si>
    <t>Public road</t>
  </si>
  <si>
    <t>Railway line</t>
  </si>
  <si>
    <t>Power generation facility (towers, turbines, buried cables, substations, etc)</t>
  </si>
  <si>
    <t>3. Calculate the consequences should a landslide occur</t>
  </si>
  <si>
    <t>Hidden</t>
  </si>
  <si>
    <t>very unlikely given the proposed restoration techniques</t>
  </si>
  <si>
    <t>unlikely given the proposed restoration techniques</t>
  </si>
  <si>
    <t>possible, given the proposed restoration techniques, A CONSEQUENCE ASSESSMENT IS REQUIRED</t>
  </si>
  <si>
    <t>likely, given the proposed restoration techniques, A CONSEQUENCE ASSESSMENT IS REQUIRED</t>
  </si>
  <si>
    <t>very likely, given the proposed restoration techniques, RESTORATION IS NOT ADVISED</t>
  </si>
  <si>
    <t>Type of peat</t>
  </si>
  <si>
    <t>Fibrous</t>
  </si>
  <si>
    <t>Pseudo-fibrous</t>
  </si>
  <si>
    <t>Amorphous</t>
  </si>
  <si>
    <t>Slope (°)</t>
  </si>
  <si>
    <t>Gradient (%)</t>
  </si>
  <si>
    <t>Consequence</t>
  </si>
  <si>
    <t>PR Likelihood</t>
  </si>
  <si>
    <t>No scores required</t>
  </si>
  <si>
    <r>
      <t xml:space="preserve">Enter data for only </t>
    </r>
    <r>
      <rPr>
        <b/>
        <i/>
        <u/>
        <sz val="11"/>
        <color theme="1"/>
        <rFont val="Calibri"/>
        <family val="2"/>
        <scheme val="minor"/>
      </rPr>
      <t>one</t>
    </r>
    <r>
      <rPr>
        <i/>
        <sz val="11"/>
        <color theme="1"/>
        <rFont val="Calibri"/>
        <family val="2"/>
        <scheme val="minor"/>
      </rPr>
      <t xml:space="preserve"> of the following:</t>
    </r>
  </si>
  <si>
    <t>CALCULATED RISK</t>
  </si>
  <si>
    <t>If either 'peat slides' or 'bog bursts' are present, enter YES as the answer to question i).</t>
  </si>
  <si>
    <t>Answers Required</t>
  </si>
  <si>
    <t>Further Information</t>
  </si>
  <si>
    <t>Qualitative descriptions of post-restoration likelihood</t>
  </si>
  <si>
    <t>Qualitative descriptions of post-restoration risk</t>
  </si>
  <si>
    <t>Given that risk has been calculated to be LOW, restoration may continue as planned.</t>
  </si>
  <si>
    <t>Given that risk has been calculated to be MEDIUM, a change in restoration technique should be considered (see below) or the site should be split into smaller units and re-assessed.</t>
  </si>
  <si>
    <t>Given that risk has been calculated to be HIGH, restoration proposals should be revised or parked (see below).</t>
  </si>
  <si>
    <t>Ground conditions suggest significant potential for instability both under natural conditions and as modified by restoration. Significant changes to restoration proposals will be required to reduce risks to acceptable levels.</t>
  </si>
  <si>
    <t>Alternative restoration proposals may represent a lower risk. Consider modifying the techniques in STEP 2 until a risk of LOW or NEGLIGIBLE is calculated.
If a lower risk cannot be calculated by changing restoration proposals, consider subdividing the site so that the factors controlling likelihood vary between areas.</t>
  </si>
  <si>
    <t xml:space="preserve">Step 1:   </t>
  </si>
  <si>
    <t xml:space="preserve">Step 2:   </t>
  </si>
  <si>
    <t xml:space="preserve">Step 3:   </t>
  </si>
  <si>
    <t>Determine the likelihood of a peat landslide to occur under natural (baseline) conditions, by answering a series of questions that relate to ground conditions at the proposed restoration site.</t>
  </si>
  <si>
    <t>Determine the impact of proposed restoration techniques on this likelihood by answering a series of questions relating to proposed restoration.</t>
  </si>
  <si>
    <t>If required, identify potential consequences and associated risks by answering a series of questions about 'receptors' within and adjacent to the site.</t>
  </si>
  <si>
    <t>OR, select a representative peat depth using data from the area to be restored (see right)</t>
  </si>
  <si>
    <t>EITHER total the peat depths across all samples and divide by the number of samples (see right)</t>
  </si>
  <si>
    <t>EITHER draw a path in Google Earth and use the "Elevation Profile" tool to read off the "Avg. Slope" value and select the corresponding range in the Gradient (%) box</t>
  </si>
  <si>
    <t>Useful links:</t>
  </si>
  <si>
    <t>https://www.google.co.uk/earth/download/gep/agree.html</t>
  </si>
  <si>
    <t>https://magic.defra.gov.uk/MagicMap.aspx</t>
  </si>
  <si>
    <t>http://mapapps.bgs.ac.uk/geologyofbritain/home.html?</t>
  </si>
  <si>
    <t>BGS Geology of Britain online viewer</t>
  </si>
  <si>
    <t>MagicMap online viewer</t>
  </si>
  <si>
    <t>Google Earth Pro download</t>
  </si>
  <si>
    <t>EITHER use observations from site (e.g. at the base of the peat profile, as observed in gullies, drains, cuttings, stream margins)</t>
  </si>
  <si>
    <t>OR refer to BGS "superficial" geology layer in the Open Geology of Britain Viewer. Where 'None recorded', enter 'Unknown' in substrate box</t>
  </si>
  <si>
    <t>At the conclusion of Step 3, it may be necessary to subdivide the restoration site into smaller units (the site is initially considered using 'site average' values in the answer to each question). If this is the case, new versions of the workbook should be created and saved with filenames corresponding to each section. Further information is provided in Chapter 6 of the accompanying report. The 'Summary Form' provides a single page printable summary of inputs and results.</t>
  </si>
  <si>
    <t>Refer to the visual glossary of drain orientation (right) and use MagicMaps to determine slope direction (from contours). Use the 'majority' of drains to inform the answer.</t>
  </si>
  <si>
    <t>How deep is the peat on average across the area to be developed, if restoration works are to be focused in an area that is not representative of the average peat depth (e.g. in a locally deep area), select a value that corresponds to this area instead. See "How to answer" for further guidance.</t>
  </si>
  <si>
    <t>very unlikely given the baseline conditions observed over the restoration area</t>
  </si>
  <si>
    <t>unlikely given the baseline conditions observed over the restoration area</t>
  </si>
  <si>
    <t>possible, given baseline conditions and the occurrence of a triggering event (e.g. intense rainfall, pipe collapse, adverse loading) somewhere within the restoration area</t>
  </si>
  <si>
    <t>likely, given baseline conditions and the occurrence of a triggering event (e.g. intense rainfall, pipe collapse, adverse loading) somewhere within the restoration area</t>
  </si>
  <si>
    <t>very likely, given baseline conditions and the occurrence of a triggering event (e.g. intense rainfall, pipe collapse, adverse loading) somewhere within the restoration area</t>
  </si>
  <si>
    <t>H10</t>
  </si>
  <si>
    <t>H8 - H6</t>
  </si>
  <si>
    <t>H3 - H5</t>
  </si>
  <si>
    <t>Low Estimate</t>
  </si>
  <si>
    <t>High Estimate</t>
  </si>
  <si>
    <t>c'</t>
  </si>
  <si>
    <t>kPa</t>
  </si>
  <si>
    <t>φ'</t>
  </si>
  <si>
    <t>°</t>
  </si>
  <si>
    <t>γ</t>
  </si>
  <si>
    <t>kN/m3</t>
  </si>
  <si>
    <t>FOS Calculation</t>
  </si>
  <si>
    <t>Parameter</t>
  </si>
  <si>
    <t>Symbol</t>
  </si>
  <si>
    <t>Unit</t>
  </si>
  <si>
    <t>Value</t>
  </si>
  <si>
    <t>-</t>
  </si>
  <si>
    <t>Effective cohesion</t>
  </si>
  <si>
    <t>Effective angle of internal friction</t>
  </si>
  <si>
    <t>Unit weight (peat)</t>
  </si>
  <si>
    <t>Unit weight (peat, submerged)</t>
  </si>
  <si>
    <t>γ'</t>
  </si>
  <si>
    <t>Unit weight (water)</t>
  </si>
  <si>
    <t>γw</t>
  </si>
  <si>
    <t>Height of water table / z</t>
  </si>
  <si>
    <t>h</t>
  </si>
  <si>
    <t>m</t>
  </si>
  <si>
    <t>Slope length</t>
  </si>
  <si>
    <t>L</t>
  </si>
  <si>
    <t>Slope width</t>
  </si>
  <si>
    <t>W</t>
  </si>
  <si>
    <t>Peat Thickness</t>
  </si>
  <si>
    <t>z</t>
  </si>
  <si>
    <t>FOS Value [m]</t>
  </si>
  <si>
    <t>FOS Value [°]</t>
  </si>
  <si>
    <t>Thickness [m]</t>
  </si>
  <si>
    <t>θ</t>
  </si>
  <si>
    <t>Peat Slope Angle</t>
  </si>
  <si>
    <t>Peat Gradient</t>
  </si>
  <si>
    <t>Peat Rise/Run</t>
  </si>
  <si>
    <t>grad</t>
  </si>
  <si>
    <t>r/r</t>
  </si>
  <si>
    <t>Slope Angle for Calculation</t>
  </si>
  <si>
    <t>θmax</t>
  </si>
  <si>
    <t>Hide these rows</t>
  </si>
  <si>
    <t>FOS</t>
  </si>
  <si>
    <t>F</t>
  </si>
  <si>
    <t>Passive earth pressure coefficient</t>
  </si>
  <si>
    <t>Kp</t>
  </si>
  <si>
    <t>Furrow depth</t>
  </si>
  <si>
    <t>zf</t>
  </si>
  <si>
    <t>Crack depth</t>
  </si>
  <si>
    <t>zc</t>
  </si>
  <si>
    <t>Total drawdown depth</t>
  </si>
  <si>
    <t>zd</t>
  </si>
  <si>
    <t>Tree spatial density (2m separation)</t>
  </si>
  <si>
    <t>Td</t>
  </si>
  <si>
    <t>tree/m2</t>
  </si>
  <si>
    <t>Tree height</t>
  </si>
  <si>
    <t>ht</t>
  </si>
  <si>
    <t>Tree diameter</t>
  </si>
  <si>
    <r>
      <rPr>
        <sz val="11"/>
        <color theme="1"/>
        <rFont val="Calibri"/>
        <family val="2"/>
      </rPr>
      <t>Ø</t>
    </r>
    <r>
      <rPr>
        <sz val="6.05"/>
        <color theme="1"/>
        <rFont val="Calibri"/>
        <family val="2"/>
      </rPr>
      <t>t</t>
    </r>
  </si>
  <si>
    <t>Tree density</t>
  </si>
  <si>
    <r>
      <rPr>
        <sz val="11"/>
        <color theme="1"/>
        <rFont val="Calibri"/>
        <family val="2"/>
      </rPr>
      <t>γ</t>
    </r>
    <r>
      <rPr>
        <sz val="6.05"/>
        <color theme="1"/>
        <rFont val="Calibri"/>
        <family val="2"/>
      </rPr>
      <t>t</t>
    </r>
  </si>
  <si>
    <t>Tree root/shoot ratio</t>
  </si>
  <si>
    <t>r-s</t>
  </si>
  <si>
    <t>Tree vertical force</t>
  </si>
  <si>
    <t>Ft</t>
  </si>
  <si>
    <t>kN</t>
  </si>
  <si>
    <t>Average tree pressure</t>
  </si>
  <si>
    <t>Pt</t>
  </si>
  <si>
    <t>FOS (pre-restoration)</t>
  </si>
  <si>
    <t>FOS (buttressed)</t>
  </si>
  <si>
    <t>FOS (forested)</t>
  </si>
  <si>
    <t>FOS afforested</t>
  </si>
  <si>
    <t>FOS (deforested)</t>
  </si>
  <si>
    <t>FOS (deforested and buttressed)</t>
  </si>
  <si>
    <t>Hide these tables</t>
  </si>
  <si>
    <t>The modified factor of safety post-restoration* is:</t>
  </si>
  <si>
    <r>
      <rPr>
        <sz val="11"/>
        <color theme="1"/>
        <rFont val="Calibri"/>
        <family val="2"/>
      </rPr>
      <t xml:space="preserve">   •</t>
    </r>
    <r>
      <rPr>
        <i/>
        <sz val="11"/>
        <color theme="1"/>
        <rFont val="Calibri"/>
        <family val="2"/>
        <scheme val="minor"/>
      </rPr>
      <t xml:space="preserve"> gully reprofiling / damming / bunding (by application of buttressing)</t>
    </r>
  </si>
  <si>
    <t>OR use contours on MagicMap to determine 'rise and run' and enter values in Rise and Run boxes
OR enter value from DTM of site</t>
  </si>
  <si>
    <t>EITHER use site observations or refer to the visual glossary of peatland geomorphology to the right:</t>
  </si>
  <si>
    <t>EITHER use site observations or refer to the visual glossary of land uses to the right:</t>
  </si>
  <si>
    <t xml:space="preserve">1. Do "blueline" watercourses occur within 500m of the area to be restored (either on the slope or at its foot)? </t>
  </si>
  <si>
    <t>Report Section 4.2.1.1</t>
  </si>
  <si>
    <t>For a walk through guide to both Google Earth and MagicMap, click here:</t>
  </si>
  <si>
    <t>Report Section 2.1</t>
  </si>
  <si>
    <t>Type of Peat</t>
  </si>
  <si>
    <t>von Post</t>
  </si>
  <si>
    <t>Description</t>
  </si>
  <si>
    <t>Plant remains clearly recognisable and retain some tensile strength. Water and  no solids on squeezing.</t>
  </si>
  <si>
    <t>Mixture of fibres and amorphous paste. Turbid water and &lt;50% solids on squeezing.</t>
  </si>
  <si>
    <t>No recognisable plant remains, mushy consistency. Paste and &gt;50% solids on squeezing.</t>
  </si>
  <si>
    <t>H6 - H8</t>
  </si>
  <si>
    <t>Refer to the table to the right to determine the type of peat (requires site observations or field logs of peat character, e.g.   using von Post)</t>
  </si>
  <si>
    <t xml:space="preserve">Blanket Bog Protocol for Assessing the Potential Impacts of Restoration on Peat Landslide Risk </t>
  </si>
  <si>
    <t>Location (NGR):</t>
  </si>
  <si>
    <t>Proposal Site:</t>
  </si>
  <si>
    <t>Application Year:</t>
  </si>
  <si>
    <t>Applicant:</t>
  </si>
  <si>
    <t>Peatland ACTION Officer:</t>
  </si>
  <si>
    <t>Date Protocol Completed:</t>
  </si>
  <si>
    <t>Likelihood Assessment</t>
  </si>
  <si>
    <t>The baseline peat landslide likelihood was determined to be:</t>
  </si>
  <si>
    <t>Protocol Filename:</t>
  </si>
  <si>
    <t>The site averaged Factor of Safety was calculated to be:</t>
  </si>
  <si>
    <t>The following restoration techniques were specified:</t>
  </si>
  <si>
    <t>The modified (post-restoration) likelihood was determined to be:</t>
  </si>
  <si>
    <t>The site averaged modified Factor of Safety was determined to be:</t>
  </si>
  <si>
    <t>Consequence Assessment</t>
  </si>
  <si>
    <t>Based on the modified likelihood assessment, a consequence assessment:</t>
  </si>
  <si>
    <t>WAS REQUIRED</t>
  </si>
  <si>
    <t>WAS NOT REQUIRED</t>
  </si>
  <si>
    <t>Receptors were identified as follows (please list):</t>
  </si>
  <si>
    <t>Risk Assessment</t>
  </si>
  <si>
    <t>Sheet 4. Summary form</t>
  </si>
  <si>
    <t>This means that the site averaged conditions may not be stable, given the uncertainty in input parameters.</t>
  </si>
  <si>
    <t>This means that the site averaged conditions are not stable, and there is a high likelihood that some parts of the site will be unstable.</t>
  </si>
  <si>
    <t>This means that while the site averaged conditions indicate stability, there is reasonable likelihood that some parts of the site will be marginally stable.</t>
  </si>
  <si>
    <t>FOS Explanation</t>
  </si>
  <si>
    <t>Following specification of restoration techniques</t>
  </si>
  <si>
    <t>Score</t>
  </si>
  <si>
    <t>Given that risk has been calculated to be NEGLIGIBLE, restoration may continue as planned.</t>
  </si>
  <si>
    <t>Temporarily occupied facility (e.g. hide, building, picnic area, unoccupied farm barn)</t>
  </si>
  <si>
    <t>Footpaths / cycle trails / access track</t>
  </si>
  <si>
    <t>2. Which of the following statuses applies to the watercourse(s)? (up to and including 5km downstream)</t>
  </si>
  <si>
    <t>Status of watercourse/terrestrial habitat:</t>
  </si>
  <si>
    <t>Other infrastructure (water supply facility, telecomms facility)</t>
  </si>
  <si>
    <r>
      <t xml:space="preserve">Other infrastructure </t>
    </r>
    <r>
      <rPr>
        <sz val="11"/>
        <color theme="1"/>
        <rFont val="Calibri"/>
        <family val="2"/>
        <scheme val="minor"/>
      </rPr>
      <t>(water supply facility, telecomms facility)</t>
    </r>
  </si>
  <si>
    <t>Report Section 2.2.1</t>
  </si>
  <si>
    <t>GE / MM Guide</t>
  </si>
  <si>
    <t>Report Section 4.2.1.2</t>
  </si>
  <si>
    <t>Report Section 4.2.1.4</t>
  </si>
  <si>
    <t>Report Section 4.2.1.8</t>
  </si>
  <si>
    <t>Report Section 4.2.1.5</t>
  </si>
  <si>
    <t>Report Section 4.2.1.7</t>
  </si>
  <si>
    <t>Report Section 4.2.1.3</t>
  </si>
  <si>
    <t>EITHER draw a path in Google Earth and use the "Elevation Profile" tool to view the profile shape in the main part of the site to be restored 
OR 
Use contour spacing on MagicMap to identify the slope profile</t>
  </si>
  <si>
    <t>Report Section 4.2.1.6</t>
  </si>
  <si>
    <t>Report Section 4.3.3.1</t>
  </si>
  <si>
    <t>?</t>
  </si>
  <si>
    <t>Substrate</t>
  </si>
  <si>
    <t>Slope Angle</t>
  </si>
  <si>
    <t>Substrate Geology</t>
  </si>
  <si>
    <t>Geomorphology</t>
  </si>
  <si>
    <t>Land Use</t>
  </si>
  <si>
    <t>Presence of peat landslide</t>
  </si>
  <si>
    <t>DROP DOWN LOOK UP SHEET</t>
  </si>
  <si>
    <t>This sheet is a reference sheet to which Sheets 1 to 3 refer in order to derive scores for each answered question. The sheet can be modified to reflect revised scoring (if new data or experience suggests this is necessary).</t>
  </si>
  <si>
    <t>Burning (shallow cracking)</t>
  </si>
  <si>
    <t>Burning (deep cracking)</t>
  </si>
  <si>
    <t>Slope Form</t>
  </si>
  <si>
    <t>Drainage</t>
  </si>
  <si>
    <t>Description (to appear in Cell H137)</t>
  </si>
  <si>
    <t>This means that the site averaged conditions indicate stability and that any areas of marginal stability will be very localised, if present.</t>
  </si>
  <si>
    <t>Grazing / stock (sheep, deer, cattle)</t>
  </si>
  <si>
    <t>STEP 1. Calculate the baseline, or "pre-restoration" likelihood of a peat landslide (i.e. the chance of a natural peat slide occurrence in the current site condition)</t>
  </si>
  <si>
    <t>MINOR INSTABILITY</t>
  </si>
  <si>
    <t>PEAT SLIDE</t>
  </si>
  <si>
    <t>BOG BURST</t>
  </si>
  <si>
    <t>Neutral effect on stability</t>
  </si>
  <si>
    <t>Slight reduction in stability</t>
  </si>
  <si>
    <t>Trench / backfill bunding</t>
  </si>
  <si>
    <t>Reduction in stability</t>
  </si>
  <si>
    <t>Slight increase in stability</t>
  </si>
  <si>
    <t>Bare peat activities</t>
  </si>
  <si>
    <t>Forest to bog: stump flipping</t>
  </si>
  <si>
    <t>Forest to bog: stump flipping &amp; brash</t>
  </si>
  <si>
    <t>Forest to bog: stump flipping, brash &amp; stem</t>
  </si>
  <si>
    <t>Increase in stability</t>
  </si>
  <si>
    <t>Refer to the visual glossary or forest status and condition to the right:</t>
  </si>
  <si>
    <t>Species</t>
  </si>
  <si>
    <t>Vulnerable birds</t>
  </si>
  <si>
    <t>Freshwater Pearl Mussels present in watercourse within 5km</t>
  </si>
  <si>
    <t>Historic and Cultural Environment</t>
  </si>
  <si>
    <t>4. Which of the following species are observed on or near to site?</t>
  </si>
  <si>
    <t>Scheduled monument</t>
  </si>
  <si>
    <t>Other Nationally Important historic site/building</t>
  </si>
  <si>
    <t>Gritty / granular till with some clay</t>
  </si>
  <si>
    <t>Top score</t>
  </si>
  <si>
    <t>Undulating</t>
  </si>
  <si>
    <t>Is the footpath / cycle trail / access track used regularly (daily)?</t>
  </si>
  <si>
    <t>6. Is there a credible runout pathway to any of the following infrastructure / land uses within or adjacent to the site?</t>
  </si>
  <si>
    <t>5. Is there a credible runout pathway to any of the following publicly accessible areas within or adjacent to the site?</t>
  </si>
  <si>
    <t>7. Is there a credible pathway to any of the following historic and/or cultural sites/monuments/buildings within or downslope of site?</t>
  </si>
  <si>
    <t>Continuous</t>
  </si>
  <si>
    <t>Intermittent</t>
  </si>
  <si>
    <t>No geomorphology (forestry)</t>
  </si>
  <si>
    <t>Forest to bog: ridge and furrow blocking</t>
  </si>
  <si>
    <t>Ditches (standard peat dams)</t>
  </si>
  <si>
    <t>Ditches (plastic piling)</t>
  </si>
  <si>
    <t>Ditches (wooden and composite dams)</t>
  </si>
  <si>
    <t>Designated (SAC, SSSI, Ramsar), with impact</t>
  </si>
  <si>
    <t>Designated (SAC, SSSI, Ramsar), unlikely impact</t>
  </si>
  <si>
    <t>Are the EPS likely to be nesting / resident during restoration works?</t>
  </si>
  <si>
    <t>There is a Private Water Supply in continuous or intermittent use</t>
  </si>
  <si>
    <t>There is a Public Water Supply (reservoir)</t>
  </si>
  <si>
    <t>There is a designated (SAC, SSSI, SPA, Ramsar) watercourse or connecting watercourse</t>
  </si>
  <si>
    <t>There are designated habitats (Natura, SSSI) within or downslope of the proposed restoration area</t>
  </si>
  <si>
    <t>The qualifying interests of the designation(s) are likely to be affected by smothering with peat or a direct loss of peat (with overlying habitat)</t>
  </si>
  <si>
    <t>Designated (Natura, SSSI), with impact</t>
  </si>
  <si>
    <t>Designated (Natura, SSSI), unlikely impact</t>
  </si>
  <si>
    <t>The qualifying interests of the designation(s) are likely to be affected by smothering with peat or a short term acid pulse</t>
  </si>
  <si>
    <t>Other vulnerable species have been confirmed in restoration area (or within 1km)</t>
  </si>
  <si>
    <t>European Protected Species (EPS) have been confirmed in restoration area (or within 1km)</t>
  </si>
  <si>
    <t>Length range (m)</t>
  </si>
  <si>
    <t>Red</t>
  </si>
  <si>
    <t>Orange</t>
  </si>
  <si>
    <t>Yellow</t>
  </si>
  <si>
    <t>Light green</t>
  </si>
  <si>
    <t>Dark green</t>
  </si>
  <si>
    <t>Slide impacts may exceed benefits</t>
  </si>
  <si>
    <t>Slide impacts may roughly balance benefits</t>
  </si>
  <si>
    <t>Benefits likely to exceed slide impacts</t>
  </si>
  <si>
    <t>Benefits significantly exceed impacts</t>
  </si>
  <si>
    <t>Impacts negligible relative to benefits</t>
  </si>
  <si>
    <t>0 - 1,000</t>
  </si>
  <si>
    <t>1,000 - 5,000</t>
  </si>
  <si>
    <t>5,000 - 10,000</t>
  </si>
  <si>
    <t>10,000 - 20,000</t>
  </si>
  <si>
    <t>20,000 - 30,000</t>
  </si>
  <si>
    <t>30,000 - 40,000</t>
  </si>
  <si>
    <t>40,000 - 50,000</t>
  </si>
  <si>
    <t>60,000 - 70,000</t>
  </si>
  <si>
    <t>70,000 - 80,000</t>
  </si>
  <si>
    <t>80,000 - 90,000</t>
  </si>
  <si>
    <t>90,000 - 100,000</t>
  </si>
  <si>
    <t>Total restoration length (m):</t>
  </si>
  <si>
    <t>Average peat depth (m):</t>
  </si>
  <si>
    <t>Approach to Restoration</t>
  </si>
  <si>
    <t>Replace this text with the rationale for retaining the restoration proposals as supplied (e.g. risks are acceptable, or benefits exceed the potential costs), for adjusting the restoration proposals (e.g. change of technique to reduce risk, or subdivision of site and rejection of parts of site due to Medium risk), or for rejecting the restoration proposals in their current form.</t>
  </si>
  <si>
    <t>50,000 - 60,000</t>
  </si>
  <si>
    <t>&gt; 3.0</t>
  </si>
  <si>
    <t>Based on the calculated risks, the proposed length of features to be restored and the peat depth:</t>
  </si>
  <si>
    <t>Based on the conditions at site prior to restoration and on the proposed restoration techniques, the risk calculated is:</t>
  </si>
  <si>
    <t>Modifier for non-ditch blocking non-afforested bogs</t>
  </si>
  <si>
    <t>Modifier for non-ditch blocking afforested bogs</t>
  </si>
  <si>
    <t>Modifier for ditch blocking in afforested or non-afforested bogs</t>
  </si>
  <si>
    <t>Will the EPS be likely to leave the site permanently if its habitat is disturbed?</t>
  </si>
  <si>
    <t>Arable (standing crops, productive land)</t>
  </si>
  <si>
    <t>Ditch-blocking (peat dams)</t>
  </si>
  <si>
    <t>Ditch-blocking (plastic piling dams)</t>
  </si>
  <si>
    <t>Ditch-blocking (zipping)</t>
  </si>
  <si>
    <t>Cell / surface / fish-scale / scallop / finger bunding</t>
  </si>
  <si>
    <t>Deep bunding (trench / backfill) (&lt;20m from bog margin)</t>
  </si>
  <si>
    <t>Bare peat whole turving</t>
  </si>
  <si>
    <t>Bare peat transplanting, seeding or mulching</t>
  </si>
  <si>
    <t>Bare peat textile application</t>
  </si>
  <si>
    <t>Please answer ALL the questions below (note that the assessment is not valid unless all entries are completed).</t>
  </si>
  <si>
    <t>Note that NatureScot internal staff may have access to the NS Geology layer containing equivalent information</t>
  </si>
  <si>
    <t>If no site specific data are available, the NS Estimated Peat Depth layer within NS GeoView may provide an estimate</t>
  </si>
  <si>
    <t>Ditch-blocking (drain reprofiling)</t>
  </si>
  <si>
    <t>Gully damming / bunding (stone / surface bunds)</t>
  </si>
  <si>
    <t>Forest to bog: tree harvesting</t>
  </si>
  <si>
    <t>Ditch-blocking (wave dams and/or zipping)</t>
  </si>
  <si>
    <t>Ditches (reprofiling / wave dams / zipping)</t>
  </si>
  <si>
    <t>This workbook provides an evidence-based protocol for assessing whether peat restoration techniques will have an adverse impact on the natural tendency of a blanket peatland to experience slope instability. The workbook is accompanied by a technical report (NatureScot Research Report No 1259, Mills &amp; Rushton, 2023) which details the underlying technical basis for the assessment, though the protocol is designed to be used standalone by Peatland ACTION officers. The protocol comprises three steps in linked worksheets, which should be worked through in order, as follows:</t>
  </si>
  <si>
    <t>Change Log</t>
  </si>
  <si>
    <t>Published version pending final NS report number</t>
  </si>
  <si>
    <t>Version</t>
  </si>
  <si>
    <t>Editor</t>
  </si>
  <si>
    <t>A Mills</t>
  </si>
  <si>
    <t>Addition of change log, NS report number, minor edits to correct messaging errors and enable full input on Summary Form, no material change to inputs or outputs</t>
  </si>
  <si>
    <t>Forest to bog: ridge and ditch/furrow blocking</t>
  </si>
  <si>
    <r>
      <rPr>
        <sz val="11"/>
        <color theme="1"/>
        <rFont val="Calibri"/>
        <family val="2"/>
      </rPr>
      <t xml:space="preserve">   •</t>
    </r>
    <r>
      <rPr>
        <i/>
        <sz val="11"/>
        <color theme="1"/>
        <rFont val="Calibri"/>
        <family val="2"/>
        <scheme val="minor"/>
      </rPr>
      <t xml:space="preserve"> tree harvesting (by change of water table, tree loading and peat density) and ditch/furrow blocking (by application of buttressing)</t>
    </r>
  </si>
  <si>
    <t xml:space="preserve">* the following techniques are covered in this calculation (note that the 'net effect on stability' comments do not apply to this output): </t>
  </si>
  <si>
    <t>(please enter the primary techniques used)</t>
  </si>
  <si>
    <t>The highest risks were associated with the
following receptors (please list, with risks):</t>
  </si>
  <si>
    <t>Protocol completed by:</t>
  </si>
  <si>
    <t>1.4.1</t>
  </si>
  <si>
    <r>
      <rPr>
        <b/>
        <sz val="10"/>
        <rFont val="Aril"/>
      </rPr>
      <t>Authored by:</t>
    </r>
    <r>
      <rPr>
        <sz val="10"/>
        <rFont val="Aril"/>
      </rPr>
      <t xml:space="preserve"> OWC Ltd (formerly East Point Geo Ltd), v1.4.1, 20/02/2026</t>
    </r>
  </si>
  <si>
    <t>Fix of unintended summary sheet locked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</si>
</sst>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44">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i/>
      <sz val="11"/>
      <color theme="1"/>
      <name val="Calibri"/>
      <family val="2"/>
      <scheme val="minor"/>
    </font>
    <font>
      <i/>
      <sz val="11"/>
      <color theme="1"/>
      <name val="Calibri"/>
      <family val="2"/>
      <scheme val="minor"/>
    </font>
    <font>
      <b/>
      <sz val="12"/>
      <color theme="1"/>
      <name val="Calibri"/>
      <family val="2"/>
      <scheme val="minor"/>
    </font>
    <font>
      <b/>
      <i/>
      <sz val="11"/>
      <name val="Calibri"/>
      <family val="2"/>
      <scheme val="minor"/>
    </font>
    <font>
      <sz val="11"/>
      <name val="Calibri"/>
      <family val="2"/>
      <scheme val="minor"/>
    </font>
    <font>
      <b/>
      <sz val="11"/>
      <name val="Calibri"/>
      <family val="2"/>
      <scheme val="minor"/>
    </font>
    <font>
      <b/>
      <i/>
      <u/>
      <sz val="11"/>
      <color theme="1"/>
      <name val="Calibri"/>
      <family val="2"/>
      <scheme val="minor"/>
    </font>
    <font>
      <b/>
      <sz val="12"/>
      <color theme="1"/>
      <name val="Aril"/>
    </font>
    <font>
      <b/>
      <sz val="12"/>
      <color theme="1"/>
      <name val="Arial"/>
      <family val="2"/>
    </font>
    <font>
      <sz val="10"/>
      <color theme="1"/>
      <name val="Aril"/>
    </font>
    <font>
      <u/>
      <sz val="11"/>
      <color theme="10"/>
      <name val="Calibri"/>
      <family val="2"/>
      <scheme val="minor"/>
    </font>
    <font>
      <sz val="10"/>
      <color theme="1"/>
      <name val="Calibri"/>
      <family val="2"/>
      <scheme val="minor"/>
    </font>
    <font>
      <sz val="12"/>
      <color theme="1"/>
      <name val="Calibri"/>
      <family val="2"/>
      <scheme val="minor"/>
    </font>
    <font>
      <i/>
      <sz val="12"/>
      <color theme="1"/>
      <name val="Calibri"/>
      <family val="2"/>
      <scheme val="minor"/>
    </font>
    <font>
      <sz val="12"/>
      <color rgb="FFFF0000"/>
      <name val="Calibri"/>
      <family val="2"/>
      <scheme val="minor"/>
    </font>
    <font>
      <sz val="11"/>
      <color theme="1"/>
      <name val="Calibri"/>
      <family val="2"/>
    </font>
    <font>
      <sz val="11"/>
      <color theme="0" tint="-0.249977111117893"/>
      <name val="Calibri"/>
      <family val="2"/>
      <scheme val="minor"/>
    </font>
    <font>
      <sz val="11"/>
      <name val="Calibri"/>
      <family val="2"/>
    </font>
    <font>
      <b/>
      <sz val="12"/>
      <name val="Calibri"/>
      <family val="2"/>
      <scheme val="minor"/>
    </font>
    <font>
      <sz val="6.05"/>
      <color theme="1"/>
      <name val="Calibri"/>
      <family val="2"/>
    </font>
    <font>
      <sz val="11"/>
      <color theme="0" tint="-0.34998626667073579"/>
      <name val="Calibri"/>
      <family val="2"/>
      <scheme val="minor"/>
    </font>
    <font>
      <b/>
      <sz val="9"/>
      <color indexed="81"/>
      <name val="Tahoma"/>
      <family val="2"/>
    </font>
    <font>
      <sz val="9"/>
      <color indexed="81"/>
      <name val="Tahoma"/>
      <family val="2"/>
    </font>
    <font>
      <i/>
      <sz val="11"/>
      <color rgb="FFFF0000"/>
      <name val="Calibri"/>
      <family val="2"/>
      <scheme val="minor"/>
    </font>
    <font>
      <b/>
      <sz val="11"/>
      <color theme="0"/>
      <name val="Calibri"/>
      <family val="2"/>
      <scheme val="minor"/>
    </font>
    <font>
      <b/>
      <sz val="12"/>
      <name val="Arial"/>
      <family val="2"/>
    </font>
    <font>
      <b/>
      <sz val="11"/>
      <color rgb="FFFF0000"/>
      <name val="Calibri"/>
      <family val="2"/>
      <scheme val="minor"/>
    </font>
    <font>
      <i/>
      <sz val="12"/>
      <color rgb="FFFF0000"/>
      <name val="Calibri"/>
      <family val="2"/>
      <scheme val="minor"/>
    </font>
    <font>
      <u/>
      <sz val="11"/>
      <color rgb="FF0066FF"/>
      <name val="Calibri"/>
      <family val="2"/>
      <scheme val="minor"/>
    </font>
    <font>
      <b/>
      <sz val="11"/>
      <color rgb="FFFFC000"/>
      <name val="Calibri"/>
      <family val="2"/>
      <scheme val="minor"/>
    </font>
    <font>
      <sz val="8"/>
      <name val="Calibri"/>
      <family val="2"/>
      <scheme val="minor"/>
    </font>
    <font>
      <b/>
      <sz val="12"/>
      <color rgb="FFFF0000"/>
      <name val="Calibri"/>
      <family val="2"/>
      <scheme val="minor"/>
    </font>
    <font>
      <sz val="11"/>
      <color rgb="FFFFC000"/>
      <name val="Calibri"/>
      <family val="2"/>
      <scheme val="minor"/>
    </font>
    <font>
      <i/>
      <sz val="12"/>
      <color theme="0"/>
      <name val="Calibri"/>
      <family val="2"/>
      <scheme val="minor"/>
    </font>
    <font>
      <sz val="12"/>
      <color theme="0"/>
      <name val="Calibri"/>
      <family val="2"/>
      <scheme val="minor"/>
    </font>
    <font>
      <sz val="10"/>
      <name val="Aril"/>
    </font>
    <font>
      <b/>
      <sz val="10"/>
      <name val="Aril"/>
    </font>
    <font>
      <u/>
      <sz val="11"/>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CC66FF"/>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99CC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0" fontId="16" fillId="0" borderId="0" applyNumberFormat="0" applyFill="0" applyBorder="0" applyAlignment="0" applyProtection="0"/>
  </cellStyleXfs>
  <cellXfs count="268">
    <xf numFmtId="0" fontId="0" fillId="0" borderId="0" xfId="0"/>
    <xf numFmtId="0" fontId="3" fillId="0" borderId="0" xfId="0" applyFont="1"/>
    <xf numFmtId="0" fontId="0" fillId="0" borderId="0" xfId="0" applyAlignment="1">
      <alignment horizontal="center"/>
    </xf>
    <xf numFmtId="0" fontId="5" fillId="2" borderId="0" xfId="0" applyFont="1" applyFill="1"/>
    <xf numFmtId="0" fontId="0" fillId="2" borderId="0" xfId="0" applyFill="1"/>
    <xf numFmtId="0" fontId="0" fillId="2" borderId="0" xfId="0" applyFill="1" applyAlignment="1">
      <alignment horizontal="center"/>
    </xf>
    <xf numFmtId="0" fontId="3" fillId="2" borderId="0" xfId="0" applyFont="1" applyFill="1"/>
    <xf numFmtId="0" fontId="6" fillId="2" borderId="0" xfId="0" applyFont="1" applyFill="1"/>
    <xf numFmtId="0" fontId="3" fillId="2" borderId="0" xfId="0" applyFont="1" applyFill="1" applyAlignment="1">
      <alignment horizontal="center"/>
    </xf>
    <xf numFmtId="0" fontId="0" fillId="2" borderId="0" xfId="0" applyFill="1" applyAlignment="1">
      <alignment horizontal="left" vertical="top" wrapText="1"/>
    </xf>
    <xf numFmtId="0" fontId="0" fillId="2" borderId="2" xfId="0" applyFill="1" applyBorder="1"/>
    <xf numFmtId="0" fontId="4" fillId="2" borderId="0" xfId="0" applyFont="1" applyFill="1" applyAlignment="1">
      <alignment horizontal="center"/>
    </xf>
    <xf numFmtId="0" fontId="8" fillId="2" borderId="0" xfId="0" applyFont="1" applyFill="1"/>
    <xf numFmtId="0" fontId="0" fillId="2" borderId="0" xfId="0" applyFill="1" applyAlignment="1">
      <alignment vertical="top" wrapText="1"/>
    </xf>
    <xf numFmtId="0" fontId="9" fillId="2" borderId="0" xfId="0" applyFont="1" applyFill="1"/>
    <xf numFmtId="0" fontId="10" fillId="2" borderId="0" xfId="0" applyFont="1" applyFill="1"/>
    <xf numFmtId="0" fontId="10" fillId="2" borderId="0" xfId="0" applyFont="1" applyFill="1" applyAlignment="1">
      <alignment horizontal="center"/>
    </xf>
    <xf numFmtId="0" fontId="5" fillId="0" borderId="0" xfId="0" applyFont="1"/>
    <xf numFmtId="0" fontId="3" fillId="2" borderId="0" xfId="0" applyFont="1" applyFill="1" applyAlignment="1">
      <alignment horizontal="left"/>
    </xf>
    <xf numFmtId="0" fontId="3" fillId="2" borderId="0" xfId="0" applyFont="1" applyFill="1" applyAlignment="1">
      <alignment vertical="top"/>
    </xf>
    <xf numFmtId="0" fontId="7" fillId="2" borderId="0" xfId="0" applyFont="1" applyFill="1"/>
    <xf numFmtId="0" fontId="7" fillId="2" borderId="0" xfId="0" applyFont="1" applyFill="1" applyAlignment="1">
      <alignment horizontal="center"/>
    </xf>
    <xf numFmtId="0" fontId="2" fillId="2" borderId="0" xfId="0" applyFont="1" applyFill="1" applyAlignment="1">
      <alignment horizontal="center"/>
    </xf>
    <xf numFmtId="0" fontId="2" fillId="2" borderId="0" xfId="0" applyFont="1" applyFill="1"/>
    <xf numFmtId="0" fontId="0" fillId="2" borderId="0" xfId="0" applyFill="1" applyAlignment="1">
      <alignment horizontal="right"/>
    </xf>
    <xf numFmtId="43" fontId="0" fillId="2" borderId="0" xfId="1" applyFont="1" applyFill="1" applyAlignment="1">
      <alignment horizontal="left"/>
    </xf>
    <xf numFmtId="0" fontId="6" fillId="2" borderId="3" xfId="0" applyFont="1" applyFill="1" applyBorder="1"/>
    <xf numFmtId="0" fontId="3" fillId="2" borderId="3" xfId="0" applyFont="1" applyFill="1" applyBorder="1"/>
    <xf numFmtId="0" fontId="0" fillId="2" borderId="3" xfId="0" applyFill="1" applyBorder="1" applyAlignment="1">
      <alignment horizontal="center"/>
    </xf>
    <xf numFmtId="0" fontId="11" fillId="2" borderId="3" xfId="0" applyFont="1" applyFill="1" applyBorder="1"/>
    <xf numFmtId="0" fontId="0" fillId="2" borderId="3" xfId="0" applyFill="1" applyBorder="1"/>
    <xf numFmtId="0" fontId="8" fillId="2" borderId="0" xfId="0" applyFont="1" applyFill="1" applyAlignment="1">
      <alignment horizontal="center"/>
    </xf>
    <xf numFmtId="0" fontId="14" fillId="2" borderId="0" xfId="0" applyFont="1" applyFill="1"/>
    <xf numFmtId="0" fontId="13" fillId="2" borderId="0" xfId="0" applyFont="1" applyFill="1" applyAlignment="1">
      <alignment vertical="top" wrapText="1"/>
    </xf>
    <xf numFmtId="0" fontId="15" fillId="2" borderId="0" xfId="0" applyFont="1" applyFill="1" applyAlignment="1">
      <alignment vertical="top"/>
    </xf>
    <xf numFmtId="0" fontId="11" fillId="2" borderId="0" xfId="0" applyFont="1" applyFill="1" applyAlignment="1">
      <alignment horizontal="center"/>
    </xf>
    <xf numFmtId="0" fontId="0" fillId="2" borderId="0" xfId="0" applyFill="1" applyAlignment="1">
      <alignment horizontal="left" vertical="top"/>
    </xf>
    <xf numFmtId="0" fontId="16" fillId="0" borderId="0" xfId="2"/>
    <xf numFmtId="0" fontId="16" fillId="2" borderId="0" xfId="2" applyFill="1"/>
    <xf numFmtId="0" fontId="4" fillId="2" borderId="3" xfId="0" applyFont="1" applyFill="1" applyBorder="1" applyAlignment="1">
      <alignment horizontal="center"/>
    </xf>
    <xf numFmtId="0" fontId="0" fillId="2" borderId="4" xfId="0" applyFill="1" applyBorder="1"/>
    <xf numFmtId="0" fontId="0" fillId="2" borderId="3" xfId="0" applyFill="1" applyBorder="1" applyAlignment="1">
      <alignment horizontal="left" vertical="top" wrapText="1"/>
    </xf>
    <xf numFmtId="164" fontId="4" fillId="2" borderId="3" xfId="0" applyNumberFormat="1" applyFont="1" applyFill="1" applyBorder="1" applyAlignment="1">
      <alignment horizontal="center"/>
    </xf>
    <xf numFmtId="164" fontId="4" fillId="2" borderId="0" xfId="0" applyNumberFormat="1" applyFont="1" applyFill="1" applyAlignment="1">
      <alignment horizontal="center"/>
    </xf>
    <xf numFmtId="0" fontId="0" fillId="2" borderId="3" xfId="0" applyFill="1" applyBorder="1" applyAlignment="1">
      <alignment vertical="top" wrapText="1"/>
    </xf>
    <xf numFmtId="0" fontId="10" fillId="2" borderId="3" xfId="0" applyFont="1" applyFill="1" applyBorder="1" applyAlignment="1">
      <alignment horizontal="center"/>
    </xf>
    <xf numFmtId="0" fontId="8" fillId="2" borderId="3" xfId="0" applyFont="1" applyFill="1" applyBorder="1"/>
    <xf numFmtId="0" fontId="8" fillId="2" borderId="3" xfId="0" applyFont="1" applyFill="1" applyBorder="1" applyAlignment="1">
      <alignment horizontal="center"/>
    </xf>
    <xf numFmtId="0" fontId="3" fillId="2" borderId="3" xfId="0" applyFont="1" applyFill="1" applyBorder="1" applyAlignment="1">
      <alignment horizontal="center"/>
    </xf>
    <xf numFmtId="0" fontId="7" fillId="2" borderId="3" xfId="0" applyFont="1" applyFill="1" applyBorder="1" applyAlignment="1">
      <alignment horizontal="center"/>
    </xf>
    <xf numFmtId="0" fontId="8" fillId="2" borderId="0" xfId="0" applyFont="1" applyFill="1" applyAlignment="1">
      <alignment vertical="top"/>
    </xf>
    <xf numFmtId="0" fontId="18" fillId="2" borderId="0" xfId="0" applyFont="1" applyFill="1" applyAlignment="1">
      <alignment vertical="top" wrapText="1"/>
    </xf>
    <xf numFmtId="0" fontId="18" fillId="2" borderId="0" xfId="0" applyFont="1" applyFill="1" applyAlignment="1">
      <alignment horizontal="center"/>
    </xf>
    <xf numFmtId="0" fontId="18" fillId="2" borderId="0" xfId="0" applyFont="1" applyFill="1"/>
    <xf numFmtId="0" fontId="18" fillId="0" borderId="0" xfId="0" applyFont="1"/>
    <xf numFmtId="0" fontId="19" fillId="2" borderId="0" xfId="0" applyFont="1" applyFill="1"/>
    <xf numFmtId="0" fontId="20" fillId="2" borderId="0" xfId="0" applyFont="1" applyFill="1" applyAlignment="1">
      <alignment horizontal="left"/>
    </xf>
    <xf numFmtId="0" fontId="20" fillId="2" borderId="0" xfId="0" applyFont="1" applyFill="1" applyAlignment="1">
      <alignment horizontal="center"/>
    </xf>
    <xf numFmtId="0" fontId="0" fillId="2" borderId="1" xfId="0" applyFill="1" applyBorder="1" applyAlignment="1">
      <alignment horizontal="center"/>
    </xf>
    <xf numFmtId="0" fontId="3" fillId="0" borderId="1" xfId="0" applyFont="1" applyBorder="1" applyAlignment="1">
      <alignment horizontal="center"/>
    </xf>
    <xf numFmtId="0" fontId="0" fillId="0" borderId="1" xfId="0" applyBorder="1"/>
    <xf numFmtId="0" fontId="0" fillId="0" borderId="1" xfId="0" applyBorder="1" applyAlignment="1">
      <alignment horizontal="center"/>
    </xf>
    <xf numFmtId="0" fontId="22" fillId="0" borderId="1" xfId="0" applyFont="1" applyBorder="1"/>
    <xf numFmtId="0" fontId="22" fillId="0" borderId="1" xfId="0" applyFont="1" applyBorder="1" applyAlignment="1">
      <alignment horizontal="center"/>
    </xf>
    <xf numFmtId="0" fontId="21" fillId="0" borderId="1" xfId="0" applyFont="1" applyBorder="1" applyAlignment="1">
      <alignment horizontal="center"/>
    </xf>
    <xf numFmtId="0" fontId="10" fillId="0" borderId="1" xfId="0" applyFont="1" applyBorder="1" applyAlignment="1">
      <alignment horizontal="center"/>
    </xf>
    <xf numFmtId="0" fontId="23" fillId="0" borderId="1" xfId="0" applyFont="1" applyBorder="1" applyAlignment="1">
      <alignment horizontal="center"/>
    </xf>
    <xf numFmtId="0" fontId="0" fillId="2" borderId="1" xfId="0" applyFill="1" applyBorder="1"/>
    <xf numFmtId="0" fontId="21" fillId="2" borderId="1" xfId="0" applyFont="1" applyFill="1" applyBorder="1" applyAlignment="1">
      <alignment horizontal="center"/>
    </xf>
    <xf numFmtId="0" fontId="0" fillId="2" borderId="7" xfId="0" applyFill="1" applyBorder="1"/>
    <xf numFmtId="0" fontId="0" fillId="2" borderId="8" xfId="0" applyFill="1" applyBorder="1"/>
    <xf numFmtId="0" fontId="0" fillId="2" borderId="9" xfId="0" applyFill="1" applyBorder="1"/>
    <xf numFmtId="164" fontId="0" fillId="2" borderId="1" xfId="0" applyNumberFormat="1" applyFill="1" applyBorder="1" applyAlignment="1">
      <alignment horizontal="center"/>
    </xf>
    <xf numFmtId="0" fontId="3" fillId="2" borderId="1" xfId="0" applyFont="1" applyFill="1" applyBorder="1"/>
    <xf numFmtId="164" fontId="0" fillId="0" borderId="1" xfId="0" applyNumberFormat="1" applyBorder="1" applyAlignment="1">
      <alignment horizontal="center"/>
    </xf>
    <xf numFmtId="0" fontId="26" fillId="0" borderId="1" xfId="0" applyFont="1" applyBorder="1"/>
    <xf numFmtId="0" fontId="26" fillId="0" borderId="1" xfId="0" applyFont="1" applyBorder="1" applyAlignment="1">
      <alignment horizontal="center"/>
    </xf>
    <xf numFmtId="164" fontId="26" fillId="0" borderId="1" xfId="0" applyNumberFormat="1" applyFont="1" applyBorder="1" applyAlignment="1">
      <alignment horizontal="center"/>
    </xf>
    <xf numFmtId="2" fontId="0" fillId="0" borderId="1" xfId="0" applyNumberFormat="1" applyBorder="1" applyAlignment="1">
      <alignment horizontal="center"/>
    </xf>
    <xf numFmtId="0" fontId="29" fillId="2" borderId="0" xfId="0" applyFont="1" applyFill="1"/>
    <xf numFmtId="164" fontId="24" fillId="2" borderId="0" xfId="0" applyNumberFormat="1" applyFont="1" applyFill="1" applyAlignment="1">
      <alignment horizontal="center"/>
    </xf>
    <xf numFmtId="0" fontId="14" fillId="2" borderId="0" xfId="0" applyFont="1" applyFill="1" applyAlignment="1">
      <alignment horizontal="left" vertical="top" wrapText="1"/>
    </xf>
    <xf numFmtId="0" fontId="0" fillId="10" borderId="8" xfId="0" applyFill="1" applyBorder="1"/>
    <xf numFmtId="0" fontId="0" fillId="10" borderId="9" xfId="0" applyFill="1" applyBorder="1"/>
    <xf numFmtId="0" fontId="0" fillId="2" borderId="15" xfId="0" applyFill="1" applyBorder="1" applyAlignment="1">
      <alignment horizontal="center"/>
    </xf>
    <xf numFmtId="0" fontId="0" fillId="2" borderId="6" xfId="0" applyFill="1" applyBorder="1" applyAlignment="1">
      <alignment horizontal="center"/>
    </xf>
    <xf numFmtId="0" fontId="30" fillId="10" borderId="7" xfId="0" applyFont="1" applyFill="1" applyBorder="1"/>
    <xf numFmtId="0" fontId="30" fillId="10" borderId="8" xfId="0" applyFont="1" applyFill="1" applyBorder="1"/>
    <xf numFmtId="0" fontId="30" fillId="10" borderId="1" xfId="0" applyFont="1" applyFill="1" applyBorder="1" applyAlignment="1">
      <alignment horizontal="center"/>
    </xf>
    <xf numFmtId="0" fontId="0" fillId="2" borderId="10" xfId="0" applyFill="1" applyBorder="1"/>
    <xf numFmtId="0" fontId="0" fillId="2" borderId="11" xfId="0" applyFill="1" applyBorder="1"/>
    <xf numFmtId="0" fontId="0" fillId="2" borderId="5" xfId="0" applyFill="1" applyBorder="1" applyAlignment="1">
      <alignment horizontal="center"/>
    </xf>
    <xf numFmtId="0" fontId="0" fillId="0" borderId="3" xfId="0" applyBorder="1"/>
    <xf numFmtId="0" fontId="7" fillId="0" borderId="0" xfId="0" applyFont="1"/>
    <xf numFmtId="0" fontId="33" fillId="2" borderId="0" xfId="0" applyFont="1" applyFill="1"/>
    <xf numFmtId="0" fontId="2" fillId="2" borderId="0" xfId="0" applyFont="1" applyFill="1" applyAlignment="1">
      <alignment horizontal="left" vertical="top"/>
    </xf>
    <xf numFmtId="0" fontId="2" fillId="2" borderId="0" xfId="0" applyFont="1" applyFill="1" applyAlignment="1">
      <alignment vertical="top"/>
    </xf>
    <xf numFmtId="0" fontId="35" fillId="0" borderId="0" xfId="0" applyFont="1"/>
    <xf numFmtId="0" fontId="3" fillId="0" borderId="1" xfId="0" applyFont="1" applyBorder="1"/>
    <xf numFmtId="49" fontId="0" fillId="0" borderId="1" xfId="0" applyNumberFormat="1" applyBorder="1"/>
    <xf numFmtId="0" fontId="3" fillId="12" borderId="0" xfId="0" applyFont="1" applyFill="1"/>
    <xf numFmtId="0" fontId="0" fillId="12" borderId="0" xfId="0" applyFill="1"/>
    <xf numFmtId="0" fontId="30" fillId="10" borderId="2" xfId="0" applyFont="1" applyFill="1" applyBorder="1"/>
    <xf numFmtId="0" fontId="30" fillId="10" borderId="0" xfId="0" applyFont="1" applyFill="1"/>
    <xf numFmtId="0" fontId="30" fillId="10" borderId="15" xfId="0" applyFont="1" applyFill="1" applyBorder="1" applyAlignment="1">
      <alignment horizontal="center"/>
    </xf>
    <xf numFmtId="0" fontId="0" fillId="10" borderId="0" xfId="0" applyFill="1"/>
    <xf numFmtId="0" fontId="0" fillId="10" borderId="13" xfId="0" applyFill="1" applyBorder="1"/>
    <xf numFmtId="0" fontId="35" fillId="2" borderId="0" xfId="0" applyFont="1" applyFill="1" applyAlignment="1">
      <alignment horizontal="left"/>
    </xf>
    <xf numFmtId="0" fontId="3" fillId="0" borderId="2" xfId="0" applyFont="1" applyBorder="1"/>
    <xf numFmtId="0" fontId="0" fillId="0" borderId="2" xfId="0" applyBorder="1"/>
    <xf numFmtId="0" fontId="3" fillId="0" borderId="3" xfId="0" applyFont="1" applyBorder="1"/>
    <xf numFmtId="0" fontId="3" fillId="0" borderId="4" xfId="0" applyFont="1" applyBorder="1"/>
    <xf numFmtId="49" fontId="0" fillId="0" borderId="2" xfId="0" applyNumberFormat="1" applyBorder="1"/>
    <xf numFmtId="0" fontId="3" fillId="12" borderId="2" xfId="0" applyFont="1" applyFill="1"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4" xfId="0" applyBorder="1"/>
    <xf numFmtId="49" fontId="3" fillId="12" borderId="2" xfId="0" applyNumberFormat="1" applyFont="1" applyFill="1" applyBorder="1"/>
    <xf numFmtId="0" fontId="0" fillId="0" borderId="7" xfId="0" applyBorder="1"/>
    <xf numFmtId="0" fontId="0" fillId="0" borderId="9" xfId="0" applyBorder="1"/>
    <xf numFmtId="0" fontId="0" fillId="0" borderId="9" xfId="0" applyBorder="1" applyAlignment="1">
      <alignment horizontal="right"/>
    </xf>
    <xf numFmtId="0" fontId="0" fillId="0" borderId="1" xfId="0" applyBorder="1" applyAlignment="1">
      <alignment horizontal="left"/>
    </xf>
    <xf numFmtId="0" fontId="3" fillId="12" borderId="4" xfId="0" applyFont="1" applyFill="1" applyBorder="1"/>
    <xf numFmtId="0" fontId="0" fillId="0" borderId="1" xfId="0" applyBorder="1" applyAlignment="1">
      <alignment horizontal="right"/>
    </xf>
    <xf numFmtId="0" fontId="0" fillId="0" borderId="0" xfId="0" applyAlignment="1">
      <alignment horizontal="right"/>
    </xf>
    <xf numFmtId="0" fontId="0" fillId="0" borderId="0" xfId="0" applyAlignment="1">
      <alignment horizontal="left"/>
    </xf>
    <xf numFmtId="0" fontId="0" fillId="2" borderId="0" xfId="0" applyFill="1" applyAlignment="1">
      <alignment horizontal="left"/>
    </xf>
    <xf numFmtId="0" fontId="3" fillId="0" borderId="0" xfId="0" applyFont="1" applyAlignment="1">
      <alignment horizontal="left"/>
    </xf>
    <xf numFmtId="0" fontId="0" fillId="0" borderId="7" xfId="0" applyBorder="1" applyAlignment="1">
      <alignment horizontal="center"/>
    </xf>
    <xf numFmtId="0" fontId="0" fillId="0" borderId="11" xfId="0" applyBorder="1" applyAlignment="1">
      <alignment horizontal="center"/>
    </xf>
    <xf numFmtId="0" fontId="3" fillId="0" borderId="2" xfId="0" applyFont="1" applyBorder="1" applyAlignment="1">
      <alignment horizontal="left" vertical="top" wrapText="1"/>
    </xf>
    <xf numFmtId="0" fontId="0" fillId="2" borderId="2" xfId="0" applyFill="1" applyBorder="1" applyAlignment="1">
      <alignment horizontal="left" vertical="top" wrapText="1"/>
    </xf>
    <xf numFmtId="0" fontId="0" fillId="2" borderId="13" xfId="0" applyFill="1" applyBorder="1" applyAlignment="1">
      <alignment horizontal="left" vertical="top" wrapText="1"/>
    </xf>
    <xf numFmtId="0" fontId="0" fillId="2" borderId="4" xfId="0" applyFill="1" applyBorder="1" applyAlignment="1">
      <alignment horizontal="left" vertical="top" wrapText="1"/>
    </xf>
    <xf numFmtId="0" fontId="0" fillId="2" borderId="14" xfId="0" applyFill="1" applyBorder="1" applyAlignment="1">
      <alignment horizontal="left" vertical="top" wrapText="1"/>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29" fillId="2" borderId="0" xfId="0" applyFont="1" applyFill="1" applyAlignment="1">
      <alignment horizontal="center"/>
    </xf>
    <xf numFmtId="0" fontId="37" fillId="2" borderId="0" xfId="0" applyFont="1" applyFill="1" applyAlignment="1">
      <alignment horizontal="center"/>
    </xf>
    <xf numFmtId="0" fontId="38" fillId="2" borderId="0" xfId="0" applyFont="1" applyFill="1"/>
    <xf numFmtId="0" fontId="2" fillId="2" borderId="0" xfId="0" applyFont="1" applyFill="1" applyAlignment="1">
      <alignment vertical="top" wrapText="1"/>
    </xf>
    <xf numFmtId="0" fontId="2" fillId="2" borderId="0" xfId="0" applyFont="1" applyFill="1" applyAlignment="1">
      <alignment horizontal="left"/>
    </xf>
    <xf numFmtId="0" fontId="3" fillId="0" borderId="7" xfId="0" applyFont="1" applyBorder="1"/>
    <xf numFmtId="0" fontId="39" fillId="2" borderId="0" xfId="0" applyFont="1" applyFill="1"/>
    <xf numFmtId="0" fontId="0" fillId="0" borderId="15" xfId="0" applyBorder="1"/>
    <xf numFmtId="0" fontId="0" fillId="2" borderId="0" xfId="0" applyFill="1" applyAlignment="1">
      <alignment horizontal="left" vertical="top" wrapText="1" indent="5"/>
    </xf>
    <xf numFmtId="0" fontId="3" fillId="0" borderId="3" xfId="0" applyFont="1" applyBorder="1" applyAlignment="1">
      <alignment horizontal="center"/>
    </xf>
    <xf numFmtId="164" fontId="0" fillId="0" borderId="0" xfId="0" applyNumberFormat="1" applyAlignment="1">
      <alignment horizontal="center"/>
    </xf>
    <xf numFmtId="0" fontId="0" fillId="14" borderId="0" xfId="0" applyFill="1" applyAlignment="1">
      <alignment horizontal="right"/>
    </xf>
    <xf numFmtId="0" fontId="0" fillId="15" borderId="0" xfId="0" applyFill="1" applyAlignment="1">
      <alignment horizontal="right"/>
    </xf>
    <xf numFmtId="0" fontId="0" fillId="13" borderId="0" xfId="0" applyFill="1" applyAlignment="1">
      <alignment horizontal="right"/>
    </xf>
    <xf numFmtId="0" fontId="0" fillId="8" borderId="0" xfId="0" applyFill="1" applyAlignment="1">
      <alignment horizontal="right"/>
    </xf>
    <xf numFmtId="0" fontId="0" fillId="6" borderId="0" xfId="0" applyFill="1" applyAlignment="1">
      <alignment horizontal="right"/>
    </xf>
    <xf numFmtId="0" fontId="3" fillId="0" borderId="0" xfId="0" applyFont="1" applyAlignment="1">
      <alignment horizontal="center"/>
    </xf>
    <xf numFmtId="1" fontId="3" fillId="0" borderId="3" xfId="0" applyNumberFormat="1" applyFont="1" applyBorder="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0" fontId="3" fillId="2" borderId="0" xfId="0" applyFont="1" applyFill="1" applyAlignment="1">
      <alignment vertical="top" wrapText="1"/>
    </xf>
    <xf numFmtId="0" fontId="20" fillId="2" borderId="0" xfId="0" applyFont="1" applyFill="1"/>
    <xf numFmtId="0" fontId="4" fillId="2" borderId="0" xfId="0" applyFont="1" applyFill="1"/>
    <xf numFmtId="43" fontId="4" fillId="2" borderId="0" xfId="1" applyFont="1" applyFill="1" applyAlignment="1">
      <alignment horizontal="left"/>
    </xf>
    <xf numFmtId="0" fontId="4" fillId="2" borderId="0" xfId="0" applyFont="1" applyFill="1" applyAlignment="1">
      <alignment vertical="top" wrapText="1"/>
    </xf>
    <xf numFmtId="0" fontId="41" fillId="2" borderId="0" xfId="0" applyFont="1" applyFill="1" applyAlignment="1">
      <alignment horizontal="right" vertical="top"/>
    </xf>
    <xf numFmtId="0" fontId="3" fillId="0" borderId="5" xfId="0" applyFont="1" applyBorder="1" applyAlignment="1">
      <alignment horizontal="center"/>
    </xf>
    <xf numFmtId="0" fontId="24" fillId="2" borderId="3" xfId="0" applyFont="1" applyFill="1" applyBorder="1"/>
    <xf numFmtId="2" fontId="8" fillId="2" borderId="1" xfId="0" applyNumberFormat="1" applyFont="1" applyFill="1" applyBorder="1" applyAlignment="1" applyProtection="1">
      <alignment horizontal="left"/>
      <protection hidden="1"/>
    </xf>
    <xf numFmtId="0" fontId="8" fillId="2" borderId="0" xfId="0" applyFont="1" applyFill="1" applyAlignment="1" applyProtection="1">
      <alignment horizontal="left"/>
      <protection hidden="1"/>
    </xf>
    <xf numFmtId="0" fontId="8" fillId="0" borderId="0" xfId="0" applyFont="1" applyAlignment="1" applyProtection="1">
      <alignment horizontal="left"/>
      <protection hidden="1"/>
    </xf>
    <xf numFmtId="164" fontId="24" fillId="2" borderId="1" xfId="0" applyNumberFormat="1" applyFont="1" applyFill="1" applyBorder="1" applyAlignment="1" applyProtection="1">
      <alignment horizontal="center"/>
      <protection hidden="1"/>
    </xf>
    <xf numFmtId="0" fontId="10" fillId="0" borderId="0" xfId="0" applyFont="1"/>
    <xf numFmtId="0" fontId="11" fillId="2" borderId="0" xfId="0" applyFont="1" applyFill="1"/>
    <xf numFmtId="0" fontId="9" fillId="2" borderId="3" xfId="0" applyFont="1" applyFill="1" applyBorder="1"/>
    <xf numFmtId="0" fontId="10" fillId="2" borderId="0" xfId="0" applyFont="1" applyFill="1" applyAlignment="1">
      <alignment horizontal="right"/>
    </xf>
    <xf numFmtId="0" fontId="3" fillId="2" borderId="1" xfId="0" applyFont="1" applyFill="1" applyBorder="1" applyAlignment="1" applyProtection="1">
      <alignment horizontal="center"/>
      <protection hidden="1"/>
    </xf>
    <xf numFmtId="0" fontId="3" fillId="2" borderId="0" xfId="0" applyFont="1" applyFill="1" applyAlignment="1" applyProtection="1">
      <alignment horizontal="left"/>
      <protection hidden="1"/>
    </xf>
    <xf numFmtId="0" fontId="0" fillId="2" borderId="0" xfId="0" applyFill="1" applyProtection="1">
      <protection hidden="1"/>
    </xf>
    <xf numFmtId="0" fontId="0" fillId="2" borderId="3" xfId="0" applyFill="1" applyBorder="1" applyProtection="1">
      <protection hidden="1"/>
    </xf>
    <xf numFmtId="43" fontId="0" fillId="2" borderId="0" xfId="1" applyFont="1" applyFill="1" applyProtection="1">
      <protection hidden="1"/>
    </xf>
    <xf numFmtId="0" fontId="0" fillId="0" borderId="0" xfId="0" applyProtection="1">
      <protection hidden="1"/>
    </xf>
    <xf numFmtId="0" fontId="3" fillId="2" borderId="0" xfId="0" applyFont="1" applyFill="1" applyAlignment="1" applyProtection="1">
      <alignment horizontal="center"/>
      <protection hidden="1"/>
    </xf>
    <xf numFmtId="0" fontId="0" fillId="2" borderId="1" xfId="0" applyFill="1" applyBorder="1" applyAlignment="1" applyProtection="1">
      <alignment horizontal="center"/>
      <protection hidden="1"/>
    </xf>
    <xf numFmtId="0" fontId="0" fillId="2" borderId="0" xfId="0" applyFill="1" applyAlignment="1" applyProtection="1">
      <alignment horizontal="center"/>
      <protection hidden="1"/>
    </xf>
    <xf numFmtId="0" fontId="32" fillId="2" borderId="0" xfId="0" applyFont="1" applyFill="1" applyAlignment="1" applyProtection="1">
      <alignment horizontal="left"/>
      <protection hidden="1"/>
    </xf>
    <xf numFmtId="0" fontId="2" fillId="2" borderId="0" xfId="0" applyFont="1" applyFill="1" applyProtection="1">
      <protection hidden="1"/>
    </xf>
    <xf numFmtId="0" fontId="2" fillId="2" borderId="0" xfId="0" applyFont="1" applyFill="1" applyAlignment="1" applyProtection="1">
      <alignment horizontal="center"/>
      <protection hidden="1"/>
    </xf>
    <xf numFmtId="0" fontId="3" fillId="2" borderId="0" xfId="0" applyFont="1" applyFill="1" applyAlignment="1" applyProtection="1">
      <alignment horizontal="left" vertical="top" wrapText="1"/>
      <protection hidden="1"/>
    </xf>
    <xf numFmtId="0" fontId="3" fillId="8" borderId="1" xfId="0" applyFont="1" applyFill="1" applyBorder="1" applyAlignment="1" applyProtection="1">
      <alignment horizontal="center"/>
      <protection locked="0"/>
    </xf>
    <xf numFmtId="0" fontId="11" fillId="8" borderId="1" xfId="0" applyFont="1" applyFill="1" applyBorder="1" applyAlignment="1" applyProtection="1">
      <alignment horizontal="center"/>
      <protection locked="0"/>
    </xf>
    <xf numFmtId="49" fontId="11" fillId="8" borderId="1" xfId="0" applyNumberFormat="1" applyFont="1" applyFill="1" applyBorder="1" applyAlignment="1" applyProtection="1">
      <alignment horizontal="center"/>
      <protection locked="0"/>
    </xf>
    <xf numFmtId="0" fontId="11" fillId="8" borderId="5" xfId="0" applyFont="1" applyFill="1" applyBorder="1" applyAlignment="1" applyProtection="1">
      <alignment horizontal="center"/>
      <protection locked="0"/>
    </xf>
    <xf numFmtId="0" fontId="11" fillId="8" borderId="6" xfId="0" applyFont="1" applyFill="1" applyBorder="1" applyAlignment="1" applyProtection="1">
      <alignment horizontal="center"/>
      <protection locked="0"/>
    </xf>
    <xf numFmtId="0" fontId="0" fillId="11" borderId="1" xfId="0" applyFill="1" applyBorder="1" applyAlignment="1" applyProtection="1">
      <alignment horizontal="center"/>
      <protection locked="0"/>
    </xf>
    <xf numFmtId="0" fontId="0" fillId="3" borderId="1" xfId="0" applyFill="1" applyBorder="1" applyAlignment="1" applyProtection="1">
      <alignment horizontal="center"/>
      <protection locked="0"/>
    </xf>
    <xf numFmtId="0" fontId="0" fillId="5" borderId="1" xfId="0" applyFill="1" applyBorder="1" applyAlignment="1" applyProtection="1">
      <alignment horizontal="center"/>
      <protection locked="0"/>
    </xf>
    <xf numFmtId="0" fontId="0" fillId="7" borderId="1" xfId="0" applyFill="1" applyBorder="1" applyAlignment="1" applyProtection="1">
      <alignment horizontal="center"/>
      <protection locked="0"/>
    </xf>
    <xf numFmtId="0" fontId="0" fillId="4" borderId="1" xfId="0" applyFill="1" applyBorder="1" applyAlignment="1" applyProtection="1">
      <alignment horizontal="center"/>
      <protection locked="0"/>
    </xf>
    <xf numFmtId="0" fontId="0" fillId="9" borderId="1" xfId="0" applyFill="1" applyBorder="1" applyAlignment="1" applyProtection="1">
      <alignment horizontal="center"/>
      <protection locked="0"/>
    </xf>
    <xf numFmtId="0" fontId="0" fillId="6" borderId="1" xfId="0" applyFill="1" applyBorder="1" applyAlignment="1" applyProtection="1">
      <alignment horizontal="center"/>
      <protection locked="0"/>
    </xf>
    <xf numFmtId="0" fontId="10" fillId="0" borderId="1" xfId="0" applyFont="1" applyBorder="1"/>
    <xf numFmtId="0" fontId="11" fillId="12" borderId="2" xfId="0" applyFont="1" applyFill="1" applyBorder="1"/>
    <xf numFmtId="0" fontId="3" fillId="2" borderId="11" xfId="0" applyFont="1" applyFill="1" applyBorder="1"/>
    <xf numFmtId="0" fontId="43" fillId="2" borderId="0" xfId="0" applyFont="1" applyFill="1"/>
    <xf numFmtId="0" fontId="40" fillId="2" borderId="0" xfId="0" applyFont="1" applyFill="1" applyAlignment="1" applyProtection="1">
      <alignment horizontal="center"/>
      <protection hidden="1"/>
    </xf>
    <xf numFmtId="0" fontId="32" fillId="2" borderId="0" xfId="0" applyFont="1" applyFill="1"/>
    <xf numFmtId="14" fontId="7" fillId="2" borderId="3" xfId="0" applyNumberFormat="1" applyFont="1" applyFill="1" applyBorder="1" applyAlignment="1">
      <alignment horizontal="center"/>
    </xf>
    <xf numFmtId="0" fontId="3" fillId="0" borderId="0" xfId="0" applyFont="1" applyAlignment="1" applyProtection="1">
      <alignment horizontal="left" vertical="top" wrapText="1"/>
      <protection hidden="1"/>
    </xf>
    <xf numFmtId="0" fontId="0" fillId="2" borderId="0" xfId="0" applyFill="1" applyAlignment="1">
      <alignment horizontal="left" indent="5"/>
    </xf>
    <xf numFmtId="0" fontId="0" fillId="2" borderId="13" xfId="0" applyFill="1" applyBorder="1" applyAlignment="1">
      <alignment horizontal="left" indent="5"/>
    </xf>
    <xf numFmtId="0" fontId="0" fillId="2" borderId="0" xfId="0" applyFill="1" applyAlignment="1">
      <alignment horizontal="left" wrapText="1" indent="5"/>
    </xf>
    <xf numFmtId="0" fontId="0" fillId="2" borderId="0" xfId="0" applyFill="1" applyAlignment="1">
      <alignment horizontal="left"/>
    </xf>
    <xf numFmtId="0" fontId="0" fillId="2" borderId="13" xfId="0" applyFill="1" applyBorder="1" applyAlignment="1">
      <alignment horizontal="left"/>
    </xf>
    <xf numFmtId="0" fontId="0" fillId="2" borderId="0" xfId="0" applyFill="1" applyAlignment="1">
      <alignment horizontal="left" vertical="top" wrapText="1" indent="5"/>
    </xf>
    <xf numFmtId="0" fontId="13" fillId="2" borderId="0" xfId="0" applyFont="1" applyFill="1" applyAlignment="1">
      <alignment horizontal="left" vertical="top" wrapText="1"/>
    </xf>
    <xf numFmtId="0" fontId="14" fillId="2" borderId="0" xfId="0" applyFont="1" applyFill="1" applyAlignment="1">
      <alignment horizontal="left" vertical="top" wrapText="1"/>
    </xf>
    <xf numFmtId="0" fontId="34" fillId="2" borderId="0" xfId="0" applyFont="1" applyFill="1" applyAlignment="1">
      <alignment horizontal="left" vertical="top" wrapText="1"/>
    </xf>
    <xf numFmtId="0" fontId="0" fillId="2" borderId="0" xfId="0" applyFill="1" applyAlignment="1">
      <alignment horizontal="left" vertical="top" wrapText="1"/>
    </xf>
    <xf numFmtId="0" fontId="16" fillId="2" borderId="0" xfId="2" applyFill="1" applyAlignment="1">
      <alignment horizontal="left" vertical="top" wrapText="1"/>
    </xf>
    <xf numFmtId="0" fontId="0" fillId="2" borderId="1" xfId="0" applyFill="1" applyBorder="1" applyAlignment="1">
      <alignment horizontal="left"/>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26" fillId="0" borderId="7" xfId="0" applyFont="1" applyBorder="1" applyAlignment="1">
      <alignment horizontal="left"/>
    </xf>
    <xf numFmtId="0" fontId="26" fillId="0" borderId="8" xfId="0" applyFont="1" applyBorder="1" applyAlignment="1">
      <alignment horizontal="left"/>
    </xf>
    <xf numFmtId="0" fontId="26" fillId="0" borderId="9" xfId="0" applyFont="1" applyBorder="1" applyAlignment="1">
      <alignment horizontal="left"/>
    </xf>
    <xf numFmtId="0" fontId="22" fillId="0" borderId="7" xfId="0" applyFont="1" applyBorder="1" applyAlignment="1">
      <alignment horizontal="left"/>
    </xf>
    <xf numFmtId="0" fontId="22" fillId="0" borderId="8" xfId="0" applyFont="1" applyBorder="1" applyAlignment="1">
      <alignment horizontal="left"/>
    </xf>
    <xf numFmtId="0" fontId="22" fillId="0" borderId="9" xfId="0" applyFont="1" applyBorder="1" applyAlignment="1">
      <alignment horizontal="left"/>
    </xf>
    <xf numFmtId="0" fontId="0" fillId="2" borderId="7" xfId="0" applyFill="1" applyBorder="1" applyAlignment="1">
      <alignment horizontal="left"/>
    </xf>
    <xf numFmtId="0" fontId="0" fillId="2" borderId="8" xfId="0" applyFill="1" applyBorder="1" applyAlignment="1">
      <alignment horizontal="left"/>
    </xf>
    <xf numFmtId="0" fontId="0" fillId="2" borderId="9" xfId="0" applyFill="1" applyBorder="1" applyAlignment="1">
      <alignment horizontal="left"/>
    </xf>
    <xf numFmtId="0" fontId="10" fillId="0" borderId="7" xfId="0" applyFont="1" applyBorder="1" applyAlignment="1">
      <alignment horizontal="left"/>
    </xf>
    <xf numFmtId="0" fontId="10" fillId="0" borderId="8" xfId="0" applyFont="1" applyBorder="1" applyAlignment="1">
      <alignment horizontal="left"/>
    </xf>
    <xf numFmtId="0" fontId="10" fillId="0" borderId="9"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0" fontId="8" fillId="0" borderId="3" xfId="0" applyFont="1" applyBorder="1" applyAlignment="1">
      <alignment horizontal="center"/>
    </xf>
    <xf numFmtId="0" fontId="2" fillId="2" borderId="0" xfId="0" applyFont="1" applyFill="1" applyAlignment="1">
      <alignment horizontal="center" vertical="top" wrapText="1"/>
    </xf>
    <xf numFmtId="0" fontId="0" fillId="2" borderId="0" xfId="0" applyFill="1" applyAlignment="1">
      <alignment vertical="top" wrapText="1"/>
    </xf>
    <xf numFmtId="0" fontId="0" fillId="2" borderId="2" xfId="0" applyFill="1" applyBorder="1" applyAlignment="1">
      <alignment horizontal="center"/>
    </xf>
    <xf numFmtId="0" fontId="0" fillId="2" borderId="0" xfId="0" applyFill="1" applyAlignment="1">
      <alignment horizontal="center"/>
    </xf>
    <xf numFmtId="0" fontId="10" fillId="2" borderId="0" xfId="0" applyFont="1" applyFill="1" applyAlignment="1">
      <alignment horizontal="center" vertical="top" wrapText="1"/>
    </xf>
    <xf numFmtId="0" fontId="17" fillId="2" borderId="0" xfId="0" applyFont="1" applyFill="1" applyAlignment="1">
      <alignment horizontal="left" vertical="top" wrapText="1"/>
    </xf>
    <xf numFmtId="0" fontId="7" fillId="2" borderId="7" xfId="0" applyFont="1" applyFill="1" applyBorder="1" applyAlignment="1" applyProtection="1">
      <alignment horizontal="center"/>
      <protection locked="0"/>
    </xf>
    <xf numFmtId="0" fontId="7" fillId="2" borderId="8" xfId="0" applyFont="1" applyFill="1" applyBorder="1" applyAlignment="1" applyProtection="1">
      <alignment horizontal="center"/>
      <protection locked="0"/>
    </xf>
    <xf numFmtId="0" fontId="7" fillId="2" borderId="9" xfId="0" applyFont="1" applyFill="1" applyBorder="1" applyAlignment="1" applyProtection="1">
      <alignment horizontal="center"/>
      <protection locked="0"/>
    </xf>
    <xf numFmtId="14" fontId="7" fillId="2" borderId="7" xfId="0" applyNumberFormat="1" applyFont="1" applyFill="1" applyBorder="1" applyAlignment="1" applyProtection="1">
      <alignment horizontal="center"/>
      <protection locked="0"/>
    </xf>
    <xf numFmtId="14" fontId="7" fillId="2" borderId="8" xfId="0" applyNumberFormat="1" applyFont="1" applyFill="1" applyBorder="1" applyAlignment="1" applyProtection="1">
      <alignment horizontal="center"/>
      <protection locked="0"/>
    </xf>
    <xf numFmtId="14" fontId="7" fillId="2" borderId="9" xfId="0" applyNumberFormat="1" applyFont="1" applyFill="1" applyBorder="1" applyAlignment="1" applyProtection="1">
      <alignment horizontal="center"/>
      <protection locked="0"/>
    </xf>
    <xf numFmtId="0" fontId="31" fillId="2" borderId="0" xfId="0" applyFont="1" applyFill="1" applyAlignment="1">
      <alignment horizontal="left" vertical="top" wrapText="1"/>
    </xf>
    <xf numFmtId="2" fontId="0" fillId="2" borderId="1" xfId="0" applyNumberFormat="1" applyFill="1" applyBorder="1" applyAlignment="1">
      <alignment horizontal="center"/>
    </xf>
    <xf numFmtId="0" fontId="0" fillId="2" borderId="1" xfId="0" applyFill="1" applyBorder="1" applyAlignment="1">
      <alignment horizontal="center"/>
    </xf>
    <xf numFmtId="164" fontId="0" fillId="2" borderId="1" xfId="0" applyNumberFormat="1" applyFill="1" applyBorder="1" applyAlignment="1">
      <alignment horizontal="center"/>
    </xf>
    <xf numFmtId="0" fontId="0" fillId="2" borderId="13" xfId="0" applyFill="1" applyBorder="1" applyAlignment="1">
      <alignment horizontal="left" vertical="top" wrapText="1"/>
    </xf>
    <xf numFmtId="0" fontId="0" fillId="2" borderId="1" xfId="0" applyFill="1" applyBorder="1" applyAlignment="1" applyProtection="1">
      <alignment horizontal="center"/>
      <protection locked="0"/>
    </xf>
    <xf numFmtId="0" fontId="7" fillId="2" borderId="0" xfId="0" applyFont="1" applyFill="1" applyAlignment="1" applyProtection="1">
      <alignment horizontal="left" vertical="top" wrapText="1"/>
      <protection locked="0"/>
    </xf>
    <xf numFmtId="0" fontId="0" fillId="2" borderId="1" xfId="0" applyFill="1" applyBorder="1" applyAlignment="1" applyProtection="1">
      <alignment horizontal="left"/>
      <protection locked="0"/>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0" fillId="2" borderId="14" xfId="0" applyFill="1" applyBorder="1" applyAlignment="1">
      <alignment horizontal="center" vertical="center" wrapText="1"/>
    </xf>
    <xf numFmtId="0" fontId="3" fillId="12" borderId="2" xfId="0" applyFont="1" applyFill="1" applyBorder="1" applyAlignment="1">
      <alignment horizontal="left" vertical="top" wrapText="1"/>
    </xf>
    <xf numFmtId="0" fontId="3" fillId="0" borderId="1" xfId="0" applyFont="1" applyBorder="1" applyAlignment="1">
      <alignment horizontal="center"/>
    </xf>
  </cellXfs>
  <cellStyles count="3">
    <cellStyle name="Comma" xfId="1" builtinId="3"/>
    <cellStyle name="Hyperlink" xfId="2" builtinId="8"/>
    <cellStyle name="Normal" xfId="0" builtinId="0"/>
  </cellStyles>
  <dxfs count="58">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b/>
        <i val="0"/>
        <color rgb="FFFF0000"/>
      </font>
      <fill>
        <patternFill patternType="none">
          <bgColor auto="1"/>
        </patternFill>
      </fill>
    </dxf>
    <dxf>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0"/>
      </font>
    </dxf>
    <dxf>
      <fill>
        <patternFill>
          <bgColor rgb="FFFF0000"/>
        </patternFill>
      </fill>
    </dxf>
    <dxf>
      <fill>
        <patternFill>
          <bgColor rgb="FFFFC000"/>
        </patternFill>
      </fill>
    </dxf>
    <dxf>
      <fill>
        <patternFill>
          <bgColor rgb="FFFFFF00"/>
        </patternFill>
      </fill>
    </dxf>
    <dxf>
      <fill>
        <patternFill>
          <bgColor rgb="FF92D050"/>
        </patternFill>
      </fill>
    </dxf>
    <dxf>
      <font>
        <color rgb="FFFF0000"/>
      </font>
    </dxf>
    <dxf>
      <font>
        <color rgb="FFFF0000"/>
      </font>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C66FF"/>
      <color rgb="FF99CC00"/>
      <color rgb="FFFF0000"/>
      <color rgb="FFFFC000"/>
      <color rgb="FF0066FF"/>
      <color rgb="FF55E41C"/>
      <color rgb="FF0099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g"/><Relationship Id="rId13" Type="http://schemas.openxmlformats.org/officeDocument/2006/relationships/image" Target="../media/image16.jpg"/><Relationship Id="rId3" Type="http://schemas.openxmlformats.org/officeDocument/2006/relationships/image" Target="../media/image6.jp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jpg"/><Relationship Id="rId10" Type="http://schemas.openxmlformats.org/officeDocument/2006/relationships/image" Target="../media/image13.jpg"/><Relationship Id="rId4" Type="http://schemas.openxmlformats.org/officeDocument/2006/relationships/image" Target="../media/image7.png"/><Relationship Id="rId9"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457200</xdr:colOff>
      <xdr:row>23</xdr:row>
      <xdr:rowOff>87374</xdr:rowOff>
    </xdr:to>
    <xdr:pic>
      <xdr:nvPicPr>
        <xdr:cNvPr id="4" name="Picture 3">
          <a:extLst>
            <a:ext uri="{FF2B5EF4-FFF2-40B4-BE49-F238E27FC236}">
              <a16:creationId xmlns:a16="http://schemas.microsoft.com/office/drawing/2014/main" id="{4A230120-8269-7463-37D2-5974E7BCD7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097500" cy="4468874"/>
        </a:xfrm>
        <a:prstGeom prst="rect">
          <a:avLst/>
        </a:prstGeom>
      </xdr:spPr>
    </xdr:pic>
    <xdr:clientData/>
  </xdr:twoCellAnchor>
  <xdr:twoCellAnchor editAs="oneCell">
    <xdr:from>
      <xdr:col>0</xdr:col>
      <xdr:colOff>186410</xdr:colOff>
      <xdr:row>15</xdr:row>
      <xdr:rowOff>180975</xdr:rowOff>
    </xdr:from>
    <xdr:to>
      <xdr:col>8</xdr:col>
      <xdr:colOff>232964</xdr:colOff>
      <xdr:row>22</xdr:row>
      <xdr:rowOff>145719</xdr:rowOff>
    </xdr:to>
    <xdr:pic>
      <xdr:nvPicPr>
        <xdr:cNvPr id="3" name="Picture 2">
          <a:extLst>
            <a:ext uri="{FF2B5EF4-FFF2-40B4-BE49-F238E27FC236}">
              <a16:creationId xmlns:a16="http://schemas.microsoft.com/office/drawing/2014/main" id="{312DC420-7399-4F03-B766-2F084240B0D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9233"/>
        <a:stretch/>
      </xdr:blipFill>
      <xdr:spPr bwMode="auto">
        <a:xfrm>
          <a:off x="186410" y="3038475"/>
          <a:ext cx="4504254" cy="1298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114299</xdr:colOff>
      <xdr:row>16</xdr:row>
      <xdr:rowOff>47625</xdr:rowOff>
    </xdr:from>
    <xdr:to>
      <xdr:col>28</xdr:col>
      <xdr:colOff>66674</xdr:colOff>
      <xdr:row>23</xdr:row>
      <xdr:rowOff>0</xdr:rowOff>
    </xdr:to>
    <xdr:sp macro="" textlink="">
      <xdr:nvSpPr>
        <xdr:cNvPr id="6" name="TextBox 5">
          <a:extLst>
            <a:ext uri="{FF2B5EF4-FFF2-40B4-BE49-F238E27FC236}">
              <a16:creationId xmlns:a16="http://schemas.microsoft.com/office/drawing/2014/main" id="{44586215-4DD3-42E0-9561-89656F03ED74}"/>
            </a:ext>
          </a:extLst>
        </xdr:cNvPr>
        <xdr:cNvSpPr txBox="1"/>
      </xdr:nvSpPr>
      <xdr:spPr>
        <a:xfrm>
          <a:off x="5181599" y="3095625"/>
          <a:ext cx="11534775" cy="1285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600" b="1">
              <a:solidFill>
                <a:schemeClr val="bg1"/>
              </a:solidFill>
              <a:latin typeface="Arial" panose="020B0604020202020204" pitchFamily="34" charset="0"/>
              <a:cs typeface="Arial" panose="020B0604020202020204" pitchFamily="34" charset="0"/>
            </a:rPr>
            <a:t>Blanket</a:t>
          </a:r>
          <a:r>
            <a:rPr lang="en-GB" sz="3600" b="1" baseline="0">
              <a:solidFill>
                <a:schemeClr val="bg1"/>
              </a:solidFill>
              <a:latin typeface="Arial" panose="020B0604020202020204" pitchFamily="34" charset="0"/>
              <a:cs typeface="Arial" panose="020B0604020202020204" pitchFamily="34" charset="0"/>
            </a:rPr>
            <a:t> Bog Protocol for Assessing the Potential Impacts of Restoration on Peat Landslide Risk </a:t>
          </a:r>
          <a:endParaRPr lang="en-GB" sz="36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190499</xdr:colOff>
      <xdr:row>2</xdr:row>
      <xdr:rowOff>169948</xdr:rowOff>
    </xdr:from>
    <xdr:to>
      <xdr:col>6</xdr:col>
      <xdr:colOff>104775</xdr:colOff>
      <xdr:row>15</xdr:row>
      <xdr:rowOff>66675</xdr:rowOff>
    </xdr:to>
    <xdr:pic>
      <xdr:nvPicPr>
        <xdr:cNvPr id="7" name="Picture 6">
          <a:extLst>
            <a:ext uri="{FF2B5EF4-FFF2-40B4-BE49-F238E27FC236}">
              <a16:creationId xmlns:a16="http://schemas.microsoft.com/office/drawing/2014/main" id="{BE030B9E-C3A0-3B9B-6828-144B680790D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139" b="32738"/>
        <a:stretch/>
      </xdr:blipFill>
      <xdr:spPr>
        <a:xfrm>
          <a:off x="190499" y="550948"/>
          <a:ext cx="3152776" cy="23732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514350</xdr:colOff>
      <xdr:row>97</xdr:row>
      <xdr:rowOff>47625</xdr:rowOff>
    </xdr:from>
    <xdr:to>
      <xdr:col>24</xdr:col>
      <xdr:colOff>441198</xdr:colOff>
      <xdr:row>108</xdr:row>
      <xdr:rowOff>116205</xdr:rowOff>
    </xdr:to>
    <xdr:pic>
      <xdr:nvPicPr>
        <xdr:cNvPr id="38" name="Picture 37">
          <a:extLst>
            <a:ext uri="{FF2B5EF4-FFF2-40B4-BE49-F238E27FC236}">
              <a16:creationId xmlns:a16="http://schemas.microsoft.com/office/drawing/2014/main" id="{FCB00E8F-F7A3-7C59-4E1D-DC73D2D945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68375" y="18640425"/>
          <a:ext cx="1755648" cy="2164080"/>
        </a:xfrm>
        <a:prstGeom prst="rect">
          <a:avLst/>
        </a:prstGeom>
      </xdr:spPr>
    </xdr:pic>
    <xdr:clientData/>
  </xdr:twoCellAnchor>
  <xdr:twoCellAnchor editAs="oneCell">
    <xdr:from>
      <xdr:col>18</xdr:col>
      <xdr:colOff>571500</xdr:colOff>
      <xdr:row>97</xdr:row>
      <xdr:rowOff>47625</xdr:rowOff>
    </xdr:from>
    <xdr:to>
      <xdr:col>21</xdr:col>
      <xdr:colOff>455676</xdr:colOff>
      <xdr:row>108</xdr:row>
      <xdr:rowOff>102489</xdr:rowOff>
    </xdr:to>
    <xdr:pic>
      <xdr:nvPicPr>
        <xdr:cNvPr id="36" name="Picture 35">
          <a:extLst>
            <a:ext uri="{FF2B5EF4-FFF2-40B4-BE49-F238E27FC236}">
              <a16:creationId xmlns:a16="http://schemas.microsoft.com/office/drawing/2014/main" id="{4F8D8B56-8B7F-A3FA-8481-F0C1083CA5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96725" y="18640425"/>
          <a:ext cx="1712976" cy="2157984"/>
        </a:xfrm>
        <a:prstGeom prst="rect">
          <a:avLst/>
        </a:prstGeom>
      </xdr:spPr>
    </xdr:pic>
    <xdr:clientData/>
  </xdr:twoCellAnchor>
  <xdr:twoCellAnchor editAs="oneCell">
    <xdr:from>
      <xdr:col>15</xdr:col>
      <xdr:colOff>123825</xdr:colOff>
      <xdr:row>18</xdr:row>
      <xdr:rowOff>142875</xdr:rowOff>
    </xdr:from>
    <xdr:to>
      <xdr:col>26</xdr:col>
      <xdr:colOff>211074</xdr:colOff>
      <xdr:row>30</xdr:row>
      <xdr:rowOff>54864</xdr:rowOff>
    </xdr:to>
    <xdr:pic>
      <xdr:nvPicPr>
        <xdr:cNvPr id="22" name="Picture 21">
          <a:extLst>
            <a:ext uri="{FF2B5EF4-FFF2-40B4-BE49-F238E27FC236}">
              <a16:creationId xmlns:a16="http://schemas.microsoft.com/office/drawing/2014/main" id="{5A3A8340-FB8F-CCF8-D56A-165DCD70BE8A}"/>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048875" y="3686175"/>
          <a:ext cx="6364224" cy="2188464"/>
        </a:xfrm>
        <a:prstGeom prst="rect">
          <a:avLst/>
        </a:prstGeom>
      </xdr:spPr>
    </xdr:pic>
    <xdr:clientData/>
  </xdr:twoCellAnchor>
  <xdr:oneCellAnchor>
    <xdr:from>
      <xdr:col>18</xdr:col>
      <xdr:colOff>581025</xdr:colOff>
      <xdr:row>107</xdr:row>
      <xdr:rowOff>9525</xdr:rowOff>
    </xdr:from>
    <xdr:ext cx="930319" cy="264560"/>
    <xdr:sp macro="" textlink="">
      <xdr:nvSpPr>
        <xdr:cNvPr id="5" name="TextBox 4">
          <a:extLst>
            <a:ext uri="{FF2B5EF4-FFF2-40B4-BE49-F238E27FC236}">
              <a16:creationId xmlns:a16="http://schemas.microsoft.com/office/drawing/2014/main" id="{8F9EC63B-E4F2-45B6-A43A-87BDF6E62DF6}"/>
            </a:ext>
          </a:extLst>
        </xdr:cNvPr>
        <xdr:cNvSpPr txBox="1"/>
      </xdr:nvSpPr>
      <xdr:spPr>
        <a:xfrm>
          <a:off x="13182600" y="20507325"/>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21</xdr:col>
      <xdr:colOff>495300</xdr:colOff>
      <xdr:row>107</xdr:row>
      <xdr:rowOff>9525</xdr:rowOff>
    </xdr:from>
    <xdr:ext cx="793615" cy="264560"/>
    <xdr:sp macro="" textlink="">
      <xdr:nvSpPr>
        <xdr:cNvPr id="14" name="TextBox 13">
          <a:extLst>
            <a:ext uri="{FF2B5EF4-FFF2-40B4-BE49-F238E27FC236}">
              <a16:creationId xmlns:a16="http://schemas.microsoft.com/office/drawing/2014/main" id="{1D98D210-D78A-466C-B401-F54FA5E3912E}"/>
            </a:ext>
          </a:extLst>
        </xdr:cNvPr>
        <xdr:cNvSpPr txBox="1"/>
      </xdr:nvSpPr>
      <xdr:spPr>
        <a:xfrm>
          <a:off x="14925675" y="20507325"/>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twoCellAnchor editAs="oneCell">
    <xdr:from>
      <xdr:col>24</xdr:col>
      <xdr:colOff>518583</xdr:colOff>
      <xdr:row>98</xdr:row>
      <xdr:rowOff>52915</xdr:rowOff>
    </xdr:from>
    <xdr:to>
      <xdr:col>27</xdr:col>
      <xdr:colOff>16876</xdr:colOff>
      <xdr:row>107</xdr:row>
      <xdr:rowOff>98013</xdr:rowOff>
    </xdr:to>
    <xdr:pic>
      <xdr:nvPicPr>
        <xdr:cNvPr id="6" name="Picture 5">
          <a:extLst>
            <a:ext uri="{FF2B5EF4-FFF2-40B4-BE49-F238E27FC236}">
              <a16:creationId xmlns:a16="http://schemas.microsoft.com/office/drawing/2014/main" id="{82EBF3B9-95BD-460F-8EEB-11FA3BEAA52B}"/>
            </a:ext>
          </a:extLst>
        </xdr:cNvPr>
        <xdr:cNvPicPr>
          <a:picLocks noChangeAspect="1"/>
        </xdr:cNvPicPr>
      </xdr:nvPicPr>
      <xdr:blipFill>
        <a:blip xmlns:r="http://schemas.openxmlformats.org/officeDocument/2006/relationships" r:embed="rId4"/>
        <a:stretch>
          <a:fillRect/>
        </a:stretch>
      </xdr:blipFill>
      <xdr:spPr>
        <a:xfrm>
          <a:off x="16859250" y="18848915"/>
          <a:ext cx="1347413" cy="1769123"/>
        </a:xfrm>
        <a:prstGeom prst="rect">
          <a:avLst/>
        </a:prstGeom>
      </xdr:spPr>
    </xdr:pic>
    <xdr:clientData/>
  </xdr:twoCellAnchor>
  <xdr:oneCellAnchor>
    <xdr:from>
      <xdr:col>16</xdr:col>
      <xdr:colOff>333375</xdr:colOff>
      <xdr:row>42</xdr:row>
      <xdr:rowOff>38100</xdr:rowOff>
    </xdr:from>
    <xdr:ext cx="930319" cy="264560"/>
    <xdr:sp macro="" textlink="">
      <xdr:nvSpPr>
        <xdr:cNvPr id="20" name="TextBox 19">
          <a:extLst>
            <a:ext uri="{FF2B5EF4-FFF2-40B4-BE49-F238E27FC236}">
              <a16:creationId xmlns:a16="http://schemas.microsoft.com/office/drawing/2014/main" id="{0E3847A5-3F8D-40A1-A659-74A705AC5ADF}"/>
            </a:ext>
          </a:extLst>
        </xdr:cNvPr>
        <xdr:cNvSpPr txBox="1"/>
      </xdr:nvSpPr>
      <xdr:spPr>
        <a:xfrm>
          <a:off x="10439400" y="8153400"/>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22</xdr:col>
      <xdr:colOff>114300</xdr:colOff>
      <xdr:row>42</xdr:row>
      <xdr:rowOff>38100</xdr:rowOff>
    </xdr:from>
    <xdr:ext cx="793615" cy="264560"/>
    <xdr:sp macro="" textlink="">
      <xdr:nvSpPr>
        <xdr:cNvPr id="21" name="TextBox 20">
          <a:extLst>
            <a:ext uri="{FF2B5EF4-FFF2-40B4-BE49-F238E27FC236}">
              <a16:creationId xmlns:a16="http://schemas.microsoft.com/office/drawing/2014/main" id="{8172F9CB-CD56-44B5-8867-6B762B5D382F}"/>
            </a:ext>
          </a:extLst>
        </xdr:cNvPr>
        <xdr:cNvSpPr txBox="1"/>
      </xdr:nvSpPr>
      <xdr:spPr>
        <a:xfrm>
          <a:off x="13877925" y="8153400"/>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twoCellAnchor editAs="oneCell">
    <xdr:from>
      <xdr:col>15</xdr:col>
      <xdr:colOff>123825</xdr:colOff>
      <xdr:row>5</xdr:row>
      <xdr:rowOff>114300</xdr:rowOff>
    </xdr:from>
    <xdr:to>
      <xdr:col>26</xdr:col>
      <xdr:colOff>607314</xdr:colOff>
      <xdr:row>17</xdr:row>
      <xdr:rowOff>41148</xdr:rowOff>
    </xdr:to>
    <xdr:pic>
      <xdr:nvPicPr>
        <xdr:cNvPr id="13" name="Picture 12">
          <a:extLst>
            <a:ext uri="{FF2B5EF4-FFF2-40B4-BE49-F238E27FC236}">
              <a16:creationId xmlns:a16="http://schemas.microsoft.com/office/drawing/2014/main" id="{D1C2AAC7-9729-6188-BB7C-6C4A6772C53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48875" y="1181100"/>
          <a:ext cx="6760464" cy="2212848"/>
        </a:xfrm>
        <a:prstGeom prst="rect">
          <a:avLst/>
        </a:prstGeom>
      </xdr:spPr>
    </xdr:pic>
    <xdr:clientData/>
  </xdr:twoCellAnchor>
  <xdr:twoCellAnchor editAs="oneCell">
    <xdr:from>
      <xdr:col>18</xdr:col>
      <xdr:colOff>104775</xdr:colOff>
      <xdr:row>31</xdr:row>
      <xdr:rowOff>171450</xdr:rowOff>
    </xdr:from>
    <xdr:to>
      <xdr:col>26</xdr:col>
      <xdr:colOff>244602</xdr:colOff>
      <xdr:row>43</xdr:row>
      <xdr:rowOff>55626</xdr:rowOff>
    </xdr:to>
    <xdr:pic>
      <xdr:nvPicPr>
        <xdr:cNvPr id="24" name="Picture 23">
          <a:extLst>
            <a:ext uri="{FF2B5EF4-FFF2-40B4-BE49-F238E27FC236}">
              <a16:creationId xmlns:a16="http://schemas.microsoft.com/office/drawing/2014/main" id="{A6399D52-533D-417E-4F62-B8FBE97B62B3}"/>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430000" y="6191250"/>
          <a:ext cx="5010912" cy="2170176"/>
        </a:xfrm>
        <a:prstGeom prst="rect">
          <a:avLst/>
        </a:prstGeom>
      </xdr:spPr>
    </xdr:pic>
    <xdr:clientData/>
  </xdr:twoCellAnchor>
  <xdr:twoCellAnchor editAs="oneCell">
    <xdr:from>
      <xdr:col>18</xdr:col>
      <xdr:colOff>85725</xdr:colOff>
      <xdr:row>44</xdr:row>
      <xdr:rowOff>171450</xdr:rowOff>
    </xdr:from>
    <xdr:to>
      <xdr:col>20</xdr:col>
      <xdr:colOff>593217</xdr:colOff>
      <xdr:row>56</xdr:row>
      <xdr:rowOff>57150</xdr:rowOff>
    </xdr:to>
    <xdr:pic>
      <xdr:nvPicPr>
        <xdr:cNvPr id="26" name="Picture 25">
          <a:extLst>
            <a:ext uri="{FF2B5EF4-FFF2-40B4-BE49-F238E27FC236}">
              <a16:creationId xmlns:a16="http://schemas.microsoft.com/office/drawing/2014/main" id="{C2B89792-6CF9-9886-8107-DB6F81E5B5F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10950" y="8667750"/>
          <a:ext cx="1719072" cy="2164080"/>
        </a:xfrm>
        <a:prstGeom prst="rect">
          <a:avLst/>
        </a:prstGeom>
      </xdr:spPr>
    </xdr:pic>
    <xdr:clientData/>
  </xdr:twoCellAnchor>
  <xdr:twoCellAnchor editAs="oneCell">
    <xdr:from>
      <xdr:col>23</xdr:col>
      <xdr:colOff>314325</xdr:colOff>
      <xdr:row>45</xdr:row>
      <xdr:rowOff>9525</xdr:rowOff>
    </xdr:from>
    <xdr:to>
      <xdr:col>26</xdr:col>
      <xdr:colOff>209931</xdr:colOff>
      <xdr:row>56</xdr:row>
      <xdr:rowOff>59817</xdr:rowOff>
    </xdr:to>
    <xdr:pic>
      <xdr:nvPicPr>
        <xdr:cNvPr id="28" name="Picture 27">
          <a:extLst>
            <a:ext uri="{FF2B5EF4-FFF2-40B4-BE49-F238E27FC236}">
              <a16:creationId xmlns:a16="http://schemas.microsoft.com/office/drawing/2014/main" id="{FED06F16-7865-6EB9-65F5-595B4B0F340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687550" y="8696325"/>
          <a:ext cx="1712976" cy="2145792"/>
        </a:xfrm>
        <a:prstGeom prst="rect">
          <a:avLst/>
        </a:prstGeom>
      </xdr:spPr>
    </xdr:pic>
    <xdr:clientData/>
  </xdr:twoCellAnchor>
  <xdr:twoCellAnchor editAs="oneCell">
    <xdr:from>
      <xdr:col>18</xdr:col>
      <xdr:colOff>76200</xdr:colOff>
      <xdr:row>57</xdr:row>
      <xdr:rowOff>114300</xdr:rowOff>
    </xdr:from>
    <xdr:to>
      <xdr:col>26</xdr:col>
      <xdr:colOff>212979</xdr:colOff>
      <xdr:row>69</xdr:row>
      <xdr:rowOff>164592</xdr:rowOff>
    </xdr:to>
    <xdr:pic>
      <xdr:nvPicPr>
        <xdr:cNvPr id="30" name="Picture 29">
          <a:extLst>
            <a:ext uri="{FF2B5EF4-FFF2-40B4-BE49-F238E27FC236}">
              <a16:creationId xmlns:a16="http://schemas.microsoft.com/office/drawing/2014/main" id="{BC3E1AB9-9E7F-ECEE-C667-2AC38392D37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401425" y="11087100"/>
          <a:ext cx="5023104" cy="2328672"/>
        </a:xfrm>
        <a:prstGeom prst="rect">
          <a:avLst/>
        </a:prstGeom>
      </xdr:spPr>
    </xdr:pic>
    <xdr:clientData/>
  </xdr:twoCellAnchor>
  <xdr:twoCellAnchor editAs="oneCell">
    <xdr:from>
      <xdr:col>18</xdr:col>
      <xdr:colOff>76200</xdr:colOff>
      <xdr:row>70</xdr:row>
      <xdr:rowOff>85725</xdr:rowOff>
    </xdr:from>
    <xdr:to>
      <xdr:col>23</xdr:col>
      <xdr:colOff>326136</xdr:colOff>
      <xdr:row>82</xdr:row>
      <xdr:rowOff>102489</xdr:rowOff>
    </xdr:to>
    <xdr:pic>
      <xdr:nvPicPr>
        <xdr:cNvPr id="32" name="Picture 31">
          <a:extLst>
            <a:ext uri="{FF2B5EF4-FFF2-40B4-BE49-F238E27FC236}">
              <a16:creationId xmlns:a16="http://schemas.microsoft.com/office/drawing/2014/main" id="{78D7A21E-1705-A588-1FD6-0555C65CB29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401425" y="13535025"/>
          <a:ext cx="3297936" cy="2310384"/>
        </a:xfrm>
        <a:prstGeom prst="rect">
          <a:avLst/>
        </a:prstGeom>
      </xdr:spPr>
    </xdr:pic>
    <xdr:clientData/>
  </xdr:twoCellAnchor>
  <xdr:twoCellAnchor editAs="oneCell">
    <xdr:from>
      <xdr:col>18</xdr:col>
      <xdr:colOff>47625</xdr:colOff>
      <xdr:row>83</xdr:row>
      <xdr:rowOff>38100</xdr:rowOff>
    </xdr:from>
    <xdr:to>
      <xdr:col>23</xdr:col>
      <xdr:colOff>230505</xdr:colOff>
      <xdr:row>96</xdr:row>
      <xdr:rowOff>2582</xdr:rowOff>
    </xdr:to>
    <xdr:pic>
      <xdr:nvPicPr>
        <xdr:cNvPr id="34" name="Picture 33">
          <a:extLst>
            <a:ext uri="{FF2B5EF4-FFF2-40B4-BE49-F238E27FC236}">
              <a16:creationId xmlns:a16="http://schemas.microsoft.com/office/drawing/2014/main" id="{DC7E84BC-487B-DDEB-95F1-A518735B809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372850" y="15963900"/>
          <a:ext cx="3230880" cy="2432304"/>
        </a:xfrm>
        <a:prstGeom prst="rect">
          <a:avLst/>
        </a:prstGeom>
      </xdr:spPr>
    </xdr:pic>
    <xdr:clientData/>
  </xdr:twoCellAnchor>
  <xdr:twoCellAnchor editAs="oneCell">
    <xdr:from>
      <xdr:col>18</xdr:col>
      <xdr:colOff>85725</xdr:colOff>
      <xdr:row>110</xdr:row>
      <xdr:rowOff>57150</xdr:rowOff>
    </xdr:from>
    <xdr:to>
      <xdr:col>26</xdr:col>
      <xdr:colOff>440817</xdr:colOff>
      <xdr:row>118</xdr:row>
      <xdr:rowOff>129921</xdr:rowOff>
    </xdr:to>
    <xdr:pic>
      <xdr:nvPicPr>
        <xdr:cNvPr id="40" name="Picture 39">
          <a:extLst>
            <a:ext uri="{FF2B5EF4-FFF2-40B4-BE49-F238E27FC236}">
              <a16:creationId xmlns:a16="http://schemas.microsoft.com/office/drawing/2014/main" id="{F146C55F-3429-133B-099E-D05ABDF7B1D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410950" y="21126450"/>
          <a:ext cx="5224272" cy="1591056"/>
        </a:xfrm>
        <a:prstGeom prst="rect">
          <a:avLst/>
        </a:prstGeom>
      </xdr:spPr>
    </xdr:pic>
    <xdr:clientData/>
  </xdr:twoCellAnchor>
  <xdr:twoCellAnchor editAs="oneCell">
    <xdr:from>
      <xdr:col>18</xdr:col>
      <xdr:colOff>57150</xdr:colOff>
      <xdr:row>123</xdr:row>
      <xdr:rowOff>9525</xdr:rowOff>
    </xdr:from>
    <xdr:to>
      <xdr:col>26</xdr:col>
      <xdr:colOff>476250</xdr:colOff>
      <xdr:row>130</xdr:row>
      <xdr:rowOff>53340</xdr:rowOff>
    </xdr:to>
    <xdr:pic>
      <xdr:nvPicPr>
        <xdr:cNvPr id="42" name="Picture 41">
          <a:extLst>
            <a:ext uri="{FF2B5EF4-FFF2-40B4-BE49-F238E27FC236}">
              <a16:creationId xmlns:a16="http://schemas.microsoft.com/office/drawing/2014/main" id="{850E3A0B-7793-BAAC-CC3E-B3DF11F449A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382375" y="23555325"/>
          <a:ext cx="5295900" cy="137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9525</xdr:colOff>
      <xdr:row>0</xdr:row>
      <xdr:rowOff>47626</xdr:rowOff>
    </xdr:from>
    <xdr:to>
      <xdr:col>21</xdr:col>
      <xdr:colOff>76200</xdr:colOff>
      <xdr:row>15</xdr:row>
      <xdr:rowOff>168220</xdr:rowOff>
    </xdr:to>
    <xdr:pic>
      <xdr:nvPicPr>
        <xdr:cNvPr id="8" name="Picture 7">
          <a:extLst>
            <a:ext uri="{FF2B5EF4-FFF2-40B4-BE49-F238E27FC236}">
              <a16:creationId xmlns:a16="http://schemas.microsoft.com/office/drawing/2014/main" id="{AD806C81-5DFD-4586-909F-F77BE0B2FBC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412942" y="47626"/>
          <a:ext cx="6967008" cy="3027201"/>
        </a:xfrm>
        <a:prstGeom prst="rect">
          <a:avLst/>
        </a:prstGeom>
      </xdr:spPr>
    </xdr:pic>
    <xdr:clientData/>
  </xdr:twoCellAnchor>
  <xdr:twoCellAnchor editAs="oneCell">
    <xdr:from>
      <xdr:col>14</xdr:col>
      <xdr:colOff>1162050</xdr:colOff>
      <xdr:row>19</xdr:row>
      <xdr:rowOff>26412</xdr:rowOff>
    </xdr:from>
    <xdr:to>
      <xdr:col>20</xdr:col>
      <xdr:colOff>555841</xdr:colOff>
      <xdr:row>33</xdr:row>
      <xdr:rowOff>114300</xdr:rowOff>
    </xdr:to>
    <xdr:pic>
      <xdr:nvPicPr>
        <xdr:cNvPr id="3" name="Picture 2">
          <a:extLst>
            <a:ext uri="{FF2B5EF4-FFF2-40B4-BE49-F238E27FC236}">
              <a16:creationId xmlns:a16="http://schemas.microsoft.com/office/drawing/2014/main" id="{30B0EDDC-D92A-4B80-88A5-3A0C303571D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353675" y="3693537"/>
          <a:ext cx="6855676" cy="27548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638175</xdr:colOff>
      <xdr:row>0</xdr:row>
      <xdr:rowOff>0</xdr:rowOff>
    </xdr:from>
    <xdr:to>
      <xdr:col>9</xdr:col>
      <xdr:colOff>190500</xdr:colOff>
      <xdr:row>11</xdr:row>
      <xdr:rowOff>3059</xdr:rowOff>
    </xdr:to>
    <xdr:pic>
      <xdr:nvPicPr>
        <xdr:cNvPr id="4" name="Picture 3">
          <a:extLst>
            <a:ext uri="{FF2B5EF4-FFF2-40B4-BE49-F238E27FC236}">
              <a16:creationId xmlns:a16="http://schemas.microsoft.com/office/drawing/2014/main" id="{5CD8113C-52AF-40DB-8B30-A6E9EE06201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90"/>
        <a:stretch/>
      </xdr:blipFill>
      <xdr:spPr>
        <a:xfrm>
          <a:off x="3686175" y="0"/>
          <a:ext cx="2295525" cy="210808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hyperlink" Target="http://mapapps.bgs.ac.uk/geologyofbritain/home.html?" TargetMode="External"/><Relationship Id="rId13" Type="http://schemas.openxmlformats.org/officeDocument/2006/relationships/vmlDrawing" Target="../drawings/vmlDrawing1.vml"/><Relationship Id="rId3" Type="http://schemas.openxmlformats.org/officeDocument/2006/relationships/printerSettings" Target="../printerSettings/printerSettings9.bin"/><Relationship Id="rId7" Type="http://schemas.openxmlformats.org/officeDocument/2006/relationships/hyperlink" Target="https://magic.defra.gov.uk/MagicMap.aspx" TargetMode="External"/><Relationship Id="rId12"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google.co.uk/earth/download/gep/agree.html" TargetMode="External"/><Relationship Id="rId11" Type="http://schemas.openxmlformats.org/officeDocument/2006/relationships/printerSettings" Target="../printerSettings/printerSettings12.bin"/><Relationship Id="rId5" Type="http://schemas.openxmlformats.org/officeDocument/2006/relationships/printerSettings" Target="../printerSettings/printerSettings11.bin"/><Relationship Id="rId10" Type="http://schemas.openxmlformats.org/officeDocument/2006/relationships/hyperlink" Target="../AppData/Local/Microsoft/Windows/INetCache/Content.Outlook/AppData/Local/Microsoft/Windows/Users/AndyMills/AppData/Local/Microsoft/Windows/Director/Cache/naturescot.nexus.objective.co.uk%20uB406/A3967034/Annex%206%20Guide%20to%20MagicMap%20and%20Google%20Earth.pdf" TargetMode="External"/><Relationship Id="rId4" Type="http://schemas.openxmlformats.org/officeDocument/2006/relationships/printerSettings" Target="../printerSettings/printerSettings10.bin"/><Relationship Id="rId9" Type="http://schemas.openxmlformats.org/officeDocument/2006/relationships/hyperlink" Target="../AppData/Local/Microsoft/Windows/INetCache/Content.Outlook/AppData/Local/Microsoft/Windows/Users/AndyMills/AppData/Local/Microsoft/Windows/Director/Cache/naturescot.nexus.objective.co.uk%20uB406/A3967034/Annex%206%20Guide%20to%20MagicMap%20and%20Google%20Earth.pdf" TargetMode="External"/><Relationship Id="rId1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15.bin"/><Relationship Id="rId7" Type="http://schemas.openxmlformats.org/officeDocument/2006/relationships/vmlDrawing" Target="../drawings/vmlDrawing2.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drawing" Target="../drawings/drawing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drawing" Target="../drawings/drawing4.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5:AC46"/>
  <sheetViews>
    <sheetView tabSelected="1" zoomScaleNormal="100" workbookViewId="0">
      <selection activeCell="N50" sqref="N50"/>
    </sheetView>
  </sheetViews>
  <sheetFormatPr defaultColWidth="9.140625" defaultRowHeight="15"/>
  <cols>
    <col min="1" max="1" width="2.85546875" style="4" customWidth="1"/>
    <col min="2" max="28" width="9.140625" style="4"/>
    <col min="29" max="29" width="14.85546875" style="4" customWidth="1"/>
    <col min="30" max="16384" width="9.140625" style="4"/>
  </cols>
  <sheetData>
    <row r="25" spans="2:29" ht="15" customHeight="1">
      <c r="B25" s="215" t="s">
        <v>450</v>
      </c>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row>
    <row r="26" spans="2:29" ht="15" customHeight="1">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row>
    <row r="27" spans="2:29" ht="15" customHeight="1">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row>
    <row r="28" spans="2:29" ht="15" customHeight="1">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row>
    <row r="29" spans="2:29" ht="20.100000000000001" customHeight="1">
      <c r="B29" s="32" t="s">
        <v>168</v>
      </c>
      <c r="C29" s="32" t="s">
        <v>171</v>
      </c>
    </row>
    <row r="30" spans="2:29" ht="20.100000000000001" customHeight="1">
      <c r="B30" s="32" t="s">
        <v>169</v>
      </c>
      <c r="C30" s="32" t="s">
        <v>172</v>
      </c>
    </row>
    <row r="31" spans="2:29" ht="20.100000000000001" customHeight="1">
      <c r="B31" s="32" t="s">
        <v>170</v>
      </c>
      <c r="C31" s="32" t="s">
        <v>173</v>
      </c>
    </row>
    <row r="32" spans="2:29" ht="15.75">
      <c r="B32" s="32"/>
    </row>
    <row r="33" spans="2:29" ht="20.100000000000001" customHeight="1">
      <c r="B33" s="216" t="s">
        <v>186</v>
      </c>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row>
    <row r="34" spans="2:29" ht="20.100000000000001" customHeight="1">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row>
    <row r="35" spans="2:29" ht="20.100000000000001" customHeight="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row>
    <row r="36" spans="2:29" ht="15" customHeight="1">
      <c r="B36" s="33"/>
      <c r="C36" s="33"/>
      <c r="D36" s="33"/>
      <c r="E36" s="33"/>
      <c r="F36" s="33"/>
      <c r="G36" s="33"/>
      <c r="H36" s="33"/>
      <c r="I36" s="33"/>
      <c r="J36" s="33"/>
      <c r="K36" s="33"/>
      <c r="L36" s="33"/>
      <c r="M36" s="33"/>
      <c r="N36" s="33"/>
      <c r="O36" s="33"/>
      <c r="P36" s="33"/>
      <c r="Q36" s="33"/>
      <c r="R36" s="33"/>
      <c r="S36" s="33"/>
      <c r="T36" s="33"/>
      <c r="U36" s="33"/>
      <c r="V36" s="33"/>
      <c r="W36" s="33"/>
      <c r="X36" s="34"/>
      <c r="Y36" s="33"/>
      <c r="Z36" s="33"/>
      <c r="AA36" s="33"/>
      <c r="AB36" s="33"/>
      <c r="AC36" s="165" t="s">
        <v>464</v>
      </c>
    </row>
    <row r="37" spans="2:29" ht="15" customHeight="1">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41" spans="2:29" s="90" customFormat="1">
      <c r="B41" s="203" t="s">
        <v>451</v>
      </c>
    </row>
    <row r="43" spans="2:29">
      <c r="B43" s="4" t="s">
        <v>453</v>
      </c>
      <c r="C43" s="4" t="s">
        <v>454</v>
      </c>
      <c r="D43" s="4" t="s">
        <v>283</v>
      </c>
    </row>
    <row r="44" spans="2:29">
      <c r="B44" s="128">
        <v>1.3</v>
      </c>
      <c r="C44" s="4" t="s">
        <v>455</v>
      </c>
      <c r="D44" s="4" t="s">
        <v>452</v>
      </c>
    </row>
    <row r="45" spans="2:29">
      <c r="B45" s="128">
        <v>1.4</v>
      </c>
      <c r="C45" s="4" t="s">
        <v>455</v>
      </c>
      <c r="D45" s="4" t="s">
        <v>456</v>
      </c>
    </row>
    <row r="46" spans="2:29">
      <c r="B46" s="4" t="s">
        <v>463</v>
      </c>
      <c r="C46" s="4" t="s">
        <v>455</v>
      </c>
      <c r="D46" s="4" t="s">
        <v>465</v>
      </c>
    </row>
  </sheetData>
  <sheetProtection algorithmName="SHA-512" hashValue="QxQfvrqoPkcXZjeHNHgG4q2OZUZct1fIEYqlGRImriFyHLCY273aXJU7kMwQxkyFTmCU2QdpaYdq79eeYiJUCg==" saltValue="ana2LQAARh451ei510xKlA==" spinCount="100000" sheet="1" objects="1" scenarios="1"/>
  <customSheetViews>
    <customSheetView guid="{29A0FFCF-8AE3-4D83-B2A0-5792604909C6}">
      <pageMargins left="0.7" right="0.7" top="0.75" bottom="0.75" header="0.3" footer="0.3"/>
      <pageSetup paperSize="9" orientation="portrait" r:id="rId1"/>
    </customSheetView>
    <customSheetView guid="{F17311CF-9914-40DA-8951-266454DC12F5}">
      <pageMargins left="0.7" right="0.7" top="0.75" bottom="0.75" header="0.3" footer="0.3"/>
      <pageSetup paperSize="9" orientation="portrait" r:id="rId2"/>
    </customSheetView>
    <customSheetView guid="{FC848FF0-660B-4750-8525-7139E9D1F87C}">
      <pageMargins left="0.7" right="0.7" top="0.75" bottom="0.75" header="0.3" footer="0.3"/>
      <pageSetup paperSize="9" orientation="portrait" r:id="rId3"/>
    </customSheetView>
    <customSheetView guid="{F08D193B-2F97-40D9-A4DD-4A4E62D6CC62}">
      <pageMargins left="0.7" right="0.7" top="0.75" bottom="0.75" header="0.3" footer="0.3"/>
      <pageSetup paperSize="9" orientation="portrait" r:id="rId4"/>
    </customSheetView>
    <customSheetView guid="{B7C3FE13-4183-40D1-BE36-A4B701770209}">
      <pageMargins left="0.7" right="0.7" top="0.75" bottom="0.75" header="0.3" footer="0.3"/>
      <pageSetup paperSize="9" orientation="portrait" r:id="rId5"/>
    </customSheetView>
  </customSheetViews>
  <mergeCells count="2">
    <mergeCell ref="B25:AC28"/>
    <mergeCell ref="B33:AC34"/>
  </mergeCell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M205"/>
  <sheetViews>
    <sheetView zoomScale="90" zoomScaleNormal="90" workbookViewId="0">
      <selection activeCell="Q140" sqref="Q140"/>
    </sheetView>
  </sheetViews>
  <sheetFormatPr defaultRowHeight="15"/>
  <cols>
    <col min="8" max="8" width="11.7109375" customWidth="1"/>
    <col min="11" max="11" width="14.85546875" customWidth="1"/>
    <col min="12" max="12" width="37.28515625" style="2" customWidth="1"/>
    <col min="13" max="14" width="10.7109375" style="2" hidden="1" customWidth="1"/>
    <col min="15" max="15" width="2.7109375" style="5" customWidth="1"/>
    <col min="16" max="16" width="2.7109375" style="4" customWidth="1"/>
    <col min="17" max="27" width="9.140625" style="4"/>
    <col min="28" max="28" width="2.7109375" style="4" customWidth="1"/>
    <col min="29" max="30" width="9.140625" style="4"/>
    <col min="31" max="31" width="5.7109375" style="4" customWidth="1"/>
    <col min="32" max="65" width="9.140625" style="4"/>
  </cols>
  <sheetData>
    <row r="1" spans="1:31" ht="18.75">
      <c r="A1" s="17" t="s">
        <v>350</v>
      </c>
    </row>
    <row r="2" spans="1:31" ht="18.75">
      <c r="A2" s="3"/>
      <c r="B2" s="4"/>
      <c r="C2" s="4"/>
      <c r="D2" s="4"/>
      <c r="E2" s="4"/>
      <c r="F2" s="4"/>
      <c r="G2" s="4"/>
      <c r="H2" s="4"/>
      <c r="I2" s="4"/>
      <c r="J2" s="4"/>
      <c r="K2" s="4"/>
      <c r="L2" s="5"/>
      <c r="M2" s="107"/>
      <c r="N2" s="5"/>
    </row>
    <row r="3" spans="1:31" ht="15.75">
      <c r="A3" s="167" t="s">
        <v>442</v>
      </c>
      <c r="B3" s="30"/>
      <c r="C3" s="30"/>
      <c r="D3" s="30"/>
      <c r="E3" s="30"/>
      <c r="F3" s="30"/>
      <c r="G3" s="30"/>
      <c r="H3" s="30"/>
      <c r="I3" s="30"/>
      <c r="J3" s="30"/>
      <c r="K3" s="30"/>
      <c r="L3" s="47" t="s">
        <v>159</v>
      </c>
      <c r="M3" s="239" t="s">
        <v>27</v>
      </c>
      <c r="N3" s="239"/>
      <c r="O3" s="48"/>
      <c r="P3" s="40"/>
      <c r="Q3" s="46" t="s">
        <v>0</v>
      </c>
      <c r="R3" s="30"/>
      <c r="S3" s="30"/>
      <c r="T3" s="30"/>
      <c r="U3" s="30"/>
      <c r="V3" s="30"/>
      <c r="W3" s="30"/>
      <c r="X3" s="30"/>
      <c r="Y3" s="30"/>
      <c r="Z3" s="30"/>
      <c r="AA3" s="30"/>
      <c r="AB3" s="40"/>
      <c r="AC3" s="46" t="s">
        <v>160</v>
      </c>
      <c r="AD3" s="30"/>
      <c r="AE3" s="30"/>
    </row>
    <row r="4" spans="1:31" ht="15.75">
      <c r="A4" s="12"/>
      <c r="B4" s="4"/>
      <c r="C4" s="4"/>
      <c r="D4" s="4"/>
      <c r="E4" s="4"/>
      <c r="F4" s="4"/>
      <c r="G4" s="4"/>
      <c r="H4" s="4"/>
      <c r="I4" s="4"/>
      <c r="J4" s="4"/>
      <c r="K4" s="4"/>
      <c r="L4" s="5"/>
      <c r="M4" s="31"/>
      <c r="N4" s="31"/>
      <c r="O4" s="8"/>
      <c r="P4" s="10"/>
      <c r="Q4" s="6"/>
      <c r="AB4" s="10"/>
    </row>
    <row r="5" spans="1:31">
      <c r="A5" s="4"/>
      <c r="B5" s="4"/>
      <c r="C5" s="4"/>
      <c r="D5" s="4"/>
      <c r="E5" s="4"/>
      <c r="F5" s="4"/>
      <c r="G5" s="4"/>
      <c r="H5" s="4"/>
      <c r="I5" s="4"/>
      <c r="J5" s="4"/>
      <c r="K5" s="4"/>
      <c r="L5" s="5"/>
      <c r="M5" s="8" t="s">
        <v>28</v>
      </c>
      <c r="N5" s="8" t="s">
        <v>29</v>
      </c>
      <c r="O5" s="8"/>
      <c r="P5" s="10"/>
      <c r="Q5" s="4" t="s">
        <v>158</v>
      </c>
      <c r="AB5" s="10"/>
      <c r="AC5" s="4" t="s">
        <v>323</v>
      </c>
    </row>
    <row r="6" spans="1:31">
      <c r="A6" s="7" t="s">
        <v>25</v>
      </c>
      <c r="B6" s="4"/>
      <c r="C6" s="4"/>
      <c r="D6" s="4"/>
      <c r="E6" s="4"/>
      <c r="F6" s="4"/>
      <c r="G6" s="4"/>
      <c r="H6" s="4"/>
      <c r="I6" s="4"/>
      <c r="J6" s="4"/>
      <c r="K6" s="4"/>
      <c r="L6" s="190"/>
      <c r="M6" s="5" t="e">
        <f>VLOOKUP($L6,'Drop Down Options'!$D$7:$F$8,2,FALSE)</f>
        <v>#N/A</v>
      </c>
      <c r="N6" s="5" t="e">
        <f>VLOOKUP($L6,'Drop Down Options'!$D$7:$F$8,3,FALSE)</f>
        <v>#N/A</v>
      </c>
      <c r="P6" s="10"/>
      <c r="Q6" s="6"/>
      <c r="AB6" s="10"/>
    </row>
    <row r="7" spans="1:31">
      <c r="A7" s="218" t="s">
        <v>26</v>
      </c>
      <c r="B7" s="218"/>
      <c r="C7" s="218"/>
      <c r="D7" s="218"/>
      <c r="E7" s="218"/>
      <c r="F7" s="218"/>
      <c r="G7" s="218"/>
      <c r="H7" s="218"/>
      <c r="I7" s="218"/>
      <c r="J7" s="218"/>
      <c r="K7" s="218"/>
      <c r="L7" s="11"/>
      <c r="M7" s="5"/>
      <c r="N7" s="5"/>
      <c r="P7" s="10"/>
      <c r="AB7" s="10"/>
    </row>
    <row r="8" spans="1:31">
      <c r="A8" s="218"/>
      <c r="B8" s="218"/>
      <c r="C8" s="218"/>
      <c r="D8" s="218"/>
      <c r="E8" s="218"/>
      <c r="F8" s="218"/>
      <c r="G8" s="218"/>
      <c r="H8" s="218"/>
      <c r="I8" s="218"/>
      <c r="J8" s="218"/>
      <c r="K8" s="218"/>
      <c r="L8" s="11"/>
      <c r="M8" s="5"/>
      <c r="N8" s="5"/>
      <c r="P8" s="10"/>
      <c r="AB8" s="10"/>
    </row>
    <row r="9" spans="1:31">
      <c r="A9" s="9"/>
      <c r="B9" s="9"/>
      <c r="C9" s="9"/>
      <c r="D9" s="9"/>
      <c r="E9" s="9"/>
      <c r="F9" s="9"/>
      <c r="G9" s="9"/>
      <c r="H9" s="9"/>
      <c r="I9" s="9"/>
      <c r="J9" s="9"/>
      <c r="K9" s="9"/>
      <c r="L9" s="11"/>
      <c r="M9" s="5"/>
      <c r="N9" s="5"/>
      <c r="P9" s="10"/>
      <c r="AB9" s="10"/>
    </row>
    <row r="10" spans="1:31">
      <c r="A10" s="9"/>
      <c r="B10" s="9"/>
      <c r="C10" s="9"/>
      <c r="D10" s="9"/>
      <c r="E10" s="9"/>
      <c r="F10" s="9"/>
      <c r="G10" s="9"/>
      <c r="H10" s="9"/>
      <c r="I10" s="9"/>
      <c r="J10" s="9"/>
      <c r="K10" s="9"/>
      <c r="L10" s="11"/>
      <c r="M10" s="5"/>
      <c r="N10" s="5"/>
      <c r="P10" s="10"/>
      <c r="AB10" s="10"/>
    </row>
    <row r="11" spans="1:31">
      <c r="A11" s="9"/>
      <c r="B11" s="9"/>
      <c r="C11" s="9"/>
      <c r="D11" s="9"/>
      <c r="E11" s="9"/>
      <c r="F11" s="9"/>
      <c r="G11" s="9"/>
      <c r="H11" s="9"/>
      <c r="I11" s="9"/>
      <c r="J11" s="9"/>
      <c r="K11" s="9"/>
      <c r="L11" s="11"/>
      <c r="M11" s="5"/>
      <c r="N11" s="5"/>
      <c r="P11" s="10"/>
      <c r="AB11" s="10"/>
    </row>
    <row r="12" spans="1:31">
      <c r="A12" s="9"/>
      <c r="B12" s="9"/>
      <c r="C12" s="9"/>
      <c r="D12" s="9"/>
      <c r="E12" s="9"/>
      <c r="F12" s="9"/>
      <c r="G12" s="9"/>
      <c r="H12" s="9"/>
      <c r="I12" s="9"/>
      <c r="J12" s="9"/>
      <c r="K12" s="9"/>
      <c r="L12" s="11"/>
      <c r="M12" s="5"/>
      <c r="N12" s="5"/>
      <c r="P12" s="10"/>
      <c r="AB12" s="10"/>
    </row>
    <row r="13" spans="1:31">
      <c r="A13" s="9"/>
      <c r="B13" s="9"/>
      <c r="C13" s="9"/>
      <c r="D13" s="9"/>
      <c r="E13" s="9"/>
      <c r="F13" s="9"/>
      <c r="G13" s="9"/>
      <c r="H13" s="9"/>
      <c r="I13" s="9"/>
      <c r="J13" s="9"/>
      <c r="K13" s="9"/>
      <c r="L13" s="11"/>
      <c r="M13" s="5"/>
      <c r="N13" s="5"/>
      <c r="P13" s="10"/>
      <c r="AB13" s="10"/>
    </row>
    <row r="14" spans="1:31">
      <c r="A14" s="4"/>
      <c r="B14" s="4"/>
      <c r="C14" s="4"/>
      <c r="D14" s="4"/>
      <c r="E14" s="4"/>
      <c r="F14" s="4"/>
      <c r="G14" s="4"/>
      <c r="H14" s="4"/>
      <c r="I14" s="4"/>
      <c r="J14" s="4"/>
      <c r="K14" s="4"/>
      <c r="L14" s="11"/>
      <c r="M14" s="5"/>
      <c r="N14" s="5"/>
      <c r="P14" s="10"/>
      <c r="AB14" s="10"/>
    </row>
    <row r="15" spans="1:31">
      <c r="A15" s="4"/>
      <c r="B15" s="4"/>
      <c r="C15" s="4"/>
      <c r="D15" s="4"/>
      <c r="E15" s="4"/>
      <c r="F15" s="4"/>
      <c r="G15" s="4"/>
      <c r="H15" s="4"/>
      <c r="I15" s="4"/>
      <c r="J15" s="4"/>
      <c r="K15" s="4"/>
      <c r="L15" s="11"/>
      <c r="M15" s="5"/>
      <c r="N15" s="5"/>
      <c r="P15" s="10"/>
      <c r="AB15" s="10"/>
    </row>
    <row r="16" spans="1:31" ht="15" customHeight="1">
      <c r="A16" s="4"/>
      <c r="B16" s="4"/>
      <c r="C16" s="4"/>
      <c r="D16" s="4"/>
      <c r="E16" s="4"/>
      <c r="F16" s="4"/>
      <c r="G16" s="4"/>
      <c r="H16" s="4"/>
      <c r="I16" s="4"/>
      <c r="J16" s="4"/>
      <c r="K16" s="4"/>
      <c r="L16" s="11"/>
      <c r="M16" s="5"/>
      <c r="N16" s="5"/>
      <c r="P16" s="10"/>
      <c r="Q16" s="245"/>
      <c r="R16" s="245"/>
      <c r="S16" s="245"/>
      <c r="AB16" s="10"/>
    </row>
    <row r="17" spans="1:31">
      <c r="A17" s="4"/>
      <c r="B17" s="4"/>
      <c r="C17" s="4"/>
      <c r="D17" s="4"/>
      <c r="E17" s="4"/>
      <c r="F17" s="4"/>
      <c r="G17" s="4"/>
      <c r="H17" s="4"/>
      <c r="I17" s="4"/>
      <c r="J17" s="4"/>
      <c r="K17" s="4"/>
      <c r="L17" s="11"/>
      <c r="M17" s="5"/>
      <c r="N17" s="5"/>
      <c r="P17" s="10"/>
      <c r="Q17" s="245"/>
      <c r="R17" s="245"/>
      <c r="S17" s="245"/>
      <c r="AB17" s="10"/>
    </row>
    <row r="18" spans="1:31">
      <c r="A18" s="30"/>
      <c r="B18" s="30"/>
      <c r="C18" s="30"/>
      <c r="D18" s="30"/>
      <c r="E18" s="30"/>
      <c r="F18" s="30"/>
      <c r="G18" s="30"/>
      <c r="H18" s="30"/>
      <c r="I18" s="30"/>
      <c r="J18" s="30"/>
      <c r="K18" s="30"/>
      <c r="L18" s="39"/>
      <c r="M18" s="28"/>
      <c r="N18" s="28"/>
      <c r="O18" s="28"/>
      <c r="P18" s="40"/>
      <c r="Q18" s="30"/>
      <c r="R18" s="30"/>
      <c r="S18" s="30"/>
      <c r="T18" s="30"/>
      <c r="U18" s="30"/>
      <c r="V18" s="30"/>
      <c r="W18" s="30"/>
      <c r="X18" s="30"/>
      <c r="Y18" s="30"/>
      <c r="Z18" s="30"/>
      <c r="AA18" s="30"/>
      <c r="AB18" s="40"/>
      <c r="AC18" s="30"/>
      <c r="AD18" s="30"/>
      <c r="AE18" s="30"/>
    </row>
    <row r="19" spans="1:31">
      <c r="A19" s="4"/>
      <c r="B19" s="4"/>
      <c r="C19" s="4"/>
      <c r="D19" s="4"/>
      <c r="E19" s="4"/>
      <c r="F19" s="4"/>
      <c r="G19" s="4"/>
      <c r="H19" s="4"/>
      <c r="I19" s="4"/>
      <c r="J19" s="4"/>
      <c r="K19" s="4"/>
      <c r="L19" s="11"/>
      <c r="M19" s="5"/>
      <c r="N19" s="5"/>
      <c r="P19" s="10"/>
      <c r="AB19" s="10"/>
    </row>
    <row r="20" spans="1:31" ht="15" customHeight="1">
      <c r="A20" s="7" t="s">
        <v>54</v>
      </c>
      <c r="B20" s="4"/>
      <c r="C20" s="4"/>
      <c r="D20" s="4"/>
      <c r="E20" s="4"/>
      <c r="F20" s="4"/>
      <c r="G20" s="4"/>
      <c r="H20" s="4"/>
      <c r="I20" s="4"/>
      <c r="J20" s="4"/>
      <c r="K20" s="4"/>
      <c r="L20" s="190"/>
      <c r="M20" s="5" t="e">
        <f>VLOOKUP($L20,'Drop Down Options'!$D$21:$F$40,2,FALSE)</f>
        <v>#N/A</v>
      </c>
      <c r="N20" s="5" t="e">
        <f>VLOOKUP($L20,'Drop Down Options'!$D$21:$F$40,3,FALSE)</f>
        <v>#N/A</v>
      </c>
      <c r="P20" s="10"/>
      <c r="Q20" s="218" t="s">
        <v>175</v>
      </c>
      <c r="R20" s="218"/>
      <c r="V20" s="218" t="s">
        <v>174</v>
      </c>
      <c r="W20" s="218"/>
      <c r="AB20" s="10"/>
      <c r="AC20" s="4" t="s">
        <v>278</v>
      </c>
    </row>
    <row r="21" spans="1:31">
      <c r="A21" s="218" t="s">
        <v>188</v>
      </c>
      <c r="B21" s="218"/>
      <c r="C21" s="218"/>
      <c r="D21" s="218"/>
      <c r="E21" s="218"/>
      <c r="F21" s="218"/>
      <c r="G21" s="218"/>
      <c r="H21" s="218"/>
      <c r="I21" s="218"/>
      <c r="J21" s="218"/>
      <c r="K21" s="218"/>
      <c r="L21" s="22"/>
      <c r="M21" s="5"/>
      <c r="N21" s="5"/>
      <c r="P21" s="10"/>
      <c r="Q21" s="218"/>
      <c r="R21" s="218"/>
      <c r="V21" s="218"/>
      <c r="W21" s="218"/>
      <c r="AB21" s="10"/>
    </row>
    <row r="22" spans="1:31">
      <c r="A22" s="218"/>
      <c r="B22" s="218"/>
      <c r="C22" s="218"/>
      <c r="D22" s="218"/>
      <c r="E22" s="218"/>
      <c r="F22" s="218"/>
      <c r="G22" s="218"/>
      <c r="H22" s="218"/>
      <c r="I22" s="218"/>
      <c r="J22" s="218"/>
      <c r="K22" s="218"/>
      <c r="L22" s="11"/>
      <c r="M22" s="5"/>
      <c r="N22" s="5"/>
      <c r="P22" s="10"/>
      <c r="Q22" s="218"/>
      <c r="R22" s="218"/>
      <c r="V22" s="218"/>
      <c r="W22" s="218"/>
      <c r="AB22" s="10"/>
      <c r="AC22" s="218" t="s">
        <v>444</v>
      </c>
      <c r="AD22" s="218"/>
      <c r="AE22" s="218"/>
    </row>
    <row r="23" spans="1:31">
      <c r="A23" s="218"/>
      <c r="B23" s="218"/>
      <c r="C23" s="218"/>
      <c r="D23" s="218"/>
      <c r="E23" s="218"/>
      <c r="F23" s="218"/>
      <c r="G23" s="218"/>
      <c r="H23" s="218"/>
      <c r="I23" s="218"/>
      <c r="J23" s="218"/>
      <c r="K23" s="218"/>
      <c r="L23" s="11"/>
      <c r="M23" s="5"/>
      <c r="N23" s="5"/>
      <c r="P23" s="10"/>
      <c r="Q23" s="218"/>
      <c r="R23" s="218"/>
      <c r="V23" s="218"/>
      <c r="W23" s="218"/>
      <c r="AB23" s="10"/>
      <c r="AC23" s="218"/>
      <c r="AD23" s="218"/>
      <c r="AE23" s="218"/>
    </row>
    <row r="24" spans="1:31">
      <c r="A24" s="9"/>
      <c r="B24" s="9"/>
      <c r="C24" s="9"/>
      <c r="D24" s="9"/>
      <c r="E24" s="9"/>
      <c r="F24" s="9"/>
      <c r="G24" s="9"/>
      <c r="H24" s="9"/>
      <c r="I24" s="9"/>
      <c r="J24" s="9"/>
      <c r="K24" s="9"/>
      <c r="L24" s="11"/>
      <c r="M24" s="5"/>
      <c r="N24" s="5"/>
      <c r="P24" s="10"/>
      <c r="Q24" s="218"/>
      <c r="R24" s="218"/>
      <c r="V24" s="218"/>
      <c r="W24" s="218"/>
      <c r="AB24" s="10"/>
      <c r="AC24" s="218"/>
      <c r="AD24" s="218"/>
      <c r="AE24" s="218"/>
    </row>
    <row r="25" spans="1:31">
      <c r="A25" s="95"/>
      <c r="B25" s="9"/>
      <c r="C25" s="9"/>
      <c r="D25" s="9"/>
      <c r="E25" s="9"/>
      <c r="F25" s="9"/>
      <c r="G25" s="9"/>
      <c r="H25" s="9"/>
      <c r="I25" s="9"/>
      <c r="J25" s="9"/>
      <c r="K25" s="9"/>
      <c r="L25" s="11"/>
      <c r="M25" s="5"/>
      <c r="N25" s="5"/>
      <c r="P25" s="10"/>
      <c r="Q25" s="9"/>
      <c r="R25" s="9"/>
      <c r="AB25" s="10"/>
      <c r="AC25" s="218"/>
      <c r="AD25" s="218"/>
      <c r="AE25" s="218"/>
    </row>
    <row r="26" spans="1:31">
      <c r="A26" s="9"/>
      <c r="B26" s="9"/>
      <c r="C26" s="9"/>
      <c r="D26" s="9"/>
      <c r="E26" s="9"/>
      <c r="F26" s="9"/>
      <c r="G26" s="9"/>
      <c r="H26" s="9"/>
      <c r="I26" s="9"/>
      <c r="J26" s="9"/>
      <c r="K26" s="9"/>
      <c r="L26" s="11"/>
      <c r="M26" s="5"/>
      <c r="N26" s="5"/>
      <c r="P26" s="10"/>
      <c r="Q26" s="9"/>
      <c r="R26" s="9"/>
      <c r="AB26" s="10"/>
      <c r="AC26" s="218"/>
      <c r="AD26" s="218"/>
      <c r="AE26" s="218"/>
    </row>
    <row r="27" spans="1:31">
      <c r="A27" s="9"/>
      <c r="B27" s="9"/>
      <c r="C27" s="9"/>
      <c r="D27" s="9"/>
      <c r="E27" s="9"/>
      <c r="F27" s="9"/>
      <c r="G27" s="9"/>
      <c r="H27" s="9"/>
      <c r="I27" s="9"/>
      <c r="J27" s="9"/>
      <c r="K27" s="9"/>
      <c r="L27" s="11"/>
      <c r="M27" s="5"/>
      <c r="N27" s="5"/>
      <c r="P27" s="10"/>
      <c r="AB27" s="10"/>
      <c r="AC27" s="218"/>
      <c r="AD27" s="218"/>
      <c r="AE27" s="218"/>
    </row>
    <row r="28" spans="1:31">
      <c r="A28" s="9"/>
      <c r="B28" s="9"/>
      <c r="C28" s="9"/>
      <c r="D28" s="9"/>
      <c r="E28" s="9"/>
      <c r="F28" s="9"/>
      <c r="G28" s="9"/>
      <c r="H28" s="9"/>
      <c r="I28" s="9"/>
      <c r="J28" s="9"/>
      <c r="K28" s="9"/>
      <c r="L28" s="11"/>
      <c r="M28" s="5"/>
      <c r="N28" s="5"/>
      <c r="P28" s="10"/>
      <c r="AB28" s="10"/>
      <c r="AC28" s="218"/>
      <c r="AD28" s="218"/>
      <c r="AE28" s="218"/>
    </row>
    <row r="29" spans="1:31">
      <c r="A29" s="9"/>
      <c r="B29" s="9"/>
      <c r="C29" s="9"/>
      <c r="D29" s="9"/>
      <c r="E29" s="9"/>
      <c r="F29" s="9"/>
      <c r="G29" s="9"/>
      <c r="H29" s="9"/>
      <c r="I29" s="9"/>
      <c r="J29" s="9"/>
      <c r="K29" s="9"/>
      <c r="L29" s="11"/>
      <c r="M29" s="5"/>
      <c r="N29" s="5"/>
      <c r="P29" s="10"/>
      <c r="AB29" s="10"/>
      <c r="AC29" s="218"/>
      <c r="AD29" s="218"/>
      <c r="AE29" s="218"/>
    </row>
    <row r="30" spans="1:31">
      <c r="A30" s="9"/>
      <c r="B30" s="9"/>
      <c r="C30" s="9"/>
      <c r="D30" s="9"/>
      <c r="E30" s="9"/>
      <c r="F30" s="9"/>
      <c r="G30" s="9"/>
      <c r="H30" s="9"/>
      <c r="I30" s="9"/>
      <c r="J30" s="9"/>
      <c r="K30" s="9"/>
      <c r="L30" s="11"/>
      <c r="M30" s="5"/>
      <c r="N30" s="5"/>
      <c r="P30" s="10"/>
      <c r="AB30" s="10"/>
      <c r="AC30" s="218"/>
      <c r="AD30" s="218"/>
      <c r="AE30" s="218"/>
    </row>
    <row r="31" spans="1:31">
      <c r="A31" s="41"/>
      <c r="B31" s="41"/>
      <c r="C31" s="41"/>
      <c r="D31" s="41"/>
      <c r="E31" s="41"/>
      <c r="F31" s="41"/>
      <c r="G31" s="41"/>
      <c r="H31" s="41"/>
      <c r="I31" s="41"/>
      <c r="J31" s="41"/>
      <c r="K31" s="41"/>
      <c r="L31" s="39"/>
      <c r="M31" s="28"/>
      <c r="N31" s="28"/>
      <c r="O31" s="28"/>
      <c r="P31" s="40"/>
      <c r="Q31" s="30"/>
      <c r="R31" s="30"/>
      <c r="S31" s="30"/>
      <c r="T31" s="30"/>
      <c r="U31" s="30"/>
      <c r="V31" s="30"/>
      <c r="W31" s="30"/>
      <c r="X31" s="30"/>
      <c r="Y31" s="30"/>
      <c r="Z31" s="30"/>
      <c r="AA31" s="30"/>
      <c r="AB31" s="40"/>
      <c r="AC31" s="30"/>
      <c r="AD31" s="30"/>
      <c r="AE31" s="30"/>
    </row>
    <row r="32" spans="1:31">
      <c r="A32" s="9"/>
      <c r="B32" s="9"/>
      <c r="C32" s="9"/>
      <c r="D32" s="9"/>
      <c r="E32" s="9"/>
      <c r="F32" s="9"/>
      <c r="G32" s="9"/>
      <c r="H32" s="9"/>
      <c r="I32" s="9"/>
      <c r="J32" s="9"/>
      <c r="K32" s="9"/>
      <c r="L32" s="11"/>
      <c r="M32" s="5"/>
      <c r="N32" s="5"/>
      <c r="P32" s="10"/>
      <c r="AB32" s="10"/>
    </row>
    <row r="33" spans="1:32" ht="15" customHeight="1">
      <c r="A33" s="7" t="s">
        <v>7</v>
      </c>
      <c r="B33" s="4"/>
      <c r="C33" s="4"/>
      <c r="D33" s="4"/>
      <c r="E33" s="4"/>
      <c r="F33" s="4"/>
      <c r="G33" s="4"/>
      <c r="H33" s="4"/>
      <c r="I33" s="4"/>
      <c r="J33" s="4"/>
      <c r="K33" s="4"/>
      <c r="L33" s="11"/>
      <c r="M33" s="5"/>
      <c r="N33" s="5"/>
      <c r="P33" s="10"/>
      <c r="Q33" s="218" t="s">
        <v>176</v>
      </c>
      <c r="R33" s="218"/>
      <c r="V33" s="218" t="s">
        <v>274</v>
      </c>
      <c r="W33" s="218"/>
      <c r="AB33" s="10"/>
      <c r="AC33" s="4" t="s">
        <v>325</v>
      </c>
    </row>
    <row r="34" spans="1:32">
      <c r="A34" s="20" t="s">
        <v>156</v>
      </c>
      <c r="B34" s="4"/>
      <c r="C34" s="4"/>
      <c r="D34" s="4"/>
      <c r="E34" s="4"/>
      <c r="F34" s="4"/>
      <c r="G34" s="4"/>
      <c r="H34" s="4"/>
      <c r="I34" s="4"/>
      <c r="J34" s="4"/>
      <c r="K34" s="4"/>
      <c r="L34" s="11"/>
      <c r="M34" s="5"/>
      <c r="N34" s="5"/>
      <c r="P34" s="10"/>
      <c r="Q34" s="218"/>
      <c r="R34" s="218"/>
      <c r="V34" s="218"/>
      <c r="W34" s="218"/>
      <c r="AB34" s="10"/>
    </row>
    <row r="35" spans="1:32">
      <c r="A35" s="4" t="s">
        <v>32</v>
      </c>
      <c r="B35" s="4"/>
      <c r="C35" s="4"/>
      <c r="D35" s="4"/>
      <c r="E35" s="4"/>
      <c r="F35" s="4"/>
      <c r="G35" s="4"/>
      <c r="H35" s="4"/>
      <c r="I35" s="4"/>
      <c r="J35" s="4"/>
      <c r="K35" s="20" t="s">
        <v>35</v>
      </c>
      <c r="L35" s="191"/>
      <c r="M35" s="5" t="str">
        <f>IF(AND(L35="",L36="",L37=""),"Value required",VLOOKUP($L$35,'Drop Down Options'!$D$12:$I$18,5,FALSE))</f>
        <v>Value required</v>
      </c>
      <c r="N35" s="5" t="str">
        <f>IF(AND(L35="",L36="",L37=""),"Value required",VLOOKUP($L$35,'Drop Down Options'!$D$12:$I$18,6,FALSE))</f>
        <v>Value required</v>
      </c>
      <c r="P35" s="10"/>
      <c r="Q35" s="218"/>
      <c r="R35" s="218"/>
      <c r="V35" s="218"/>
      <c r="W35" s="218"/>
      <c r="AB35" s="10"/>
    </row>
    <row r="36" spans="1:32">
      <c r="A36" s="4" t="s">
        <v>30</v>
      </c>
      <c r="B36" s="4"/>
      <c r="C36" s="4"/>
      <c r="D36" s="4"/>
      <c r="E36" s="4"/>
      <c r="F36" s="4"/>
      <c r="G36" s="4"/>
      <c r="H36" s="4"/>
      <c r="I36" s="4"/>
      <c r="J36" s="4"/>
      <c r="K36" s="20" t="s">
        <v>36</v>
      </c>
      <c r="L36" s="191"/>
      <c r="M36" s="5" t="str">
        <f>IF(AND(L35="",L36="",L37=""),"Value required",VLOOKUP($L$36,'Drop Down Options'!$G$12:$I$18,2,FALSE))</f>
        <v>Value required</v>
      </c>
      <c r="N36" s="5" t="str">
        <f>IF(AND(L35="",L36="",L37=""),"Value required",VLOOKUP($L$36,'Drop Down Options'!$G$12:$I$18,3,FALSE))</f>
        <v>Value required</v>
      </c>
      <c r="P36" s="10"/>
      <c r="Q36" s="218"/>
      <c r="R36" s="218"/>
      <c r="V36" s="218"/>
      <c r="W36" s="218"/>
      <c r="AB36" s="10"/>
    </row>
    <row r="37" spans="1:32" ht="15" customHeight="1">
      <c r="A37" s="4" t="s">
        <v>31</v>
      </c>
      <c r="B37" s="4"/>
      <c r="C37" s="4"/>
      <c r="D37" s="4"/>
      <c r="E37" s="4"/>
      <c r="F37" s="4"/>
      <c r="G37" s="4"/>
      <c r="H37" s="4"/>
      <c r="I37" s="4"/>
      <c r="J37" s="4"/>
      <c r="K37" s="20" t="s">
        <v>33</v>
      </c>
      <c r="L37" s="192"/>
      <c r="M37" s="5" t="str">
        <f>IF(AND(L35="",L36="",L37=""),"Value required",IF(100*$L$37/$L$38&lt;='Drop Down Options'!$F$12,'Drop Down Options'!H12,IF(100*$L$37/$L$38&lt;='Drop Down Options'!$F$13,'Drop Down Options'!H13,IF(100*$L$37/$L$38&lt;='Drop Down Options'!$F$14,'Drop Down Options'!H14,IF(100*$L$37/$L$38&lt;='Drop Down Options'!$F$15,'Drop Down Options'!H15,IF(100*$L$37/$L$38&lt;='Drop Down Options'!$F$16,'Drop Down Options'!H16,IF(100*$L$37/$L$38&lt;='Drop Down Options'!$F$17,'Drop Down Options'!H17,'Drop Down Options'!H18)))))))</f>
        <v>Value required</v>
      </c>
      <c r="N37" s="5" t="str">
        <f>IF(AND(L35="",L36="",L37=""),"Value required",IF(100*$L$37/$L$38&lt;='Drop Down Options'!$F$12,'Drop Down Options'!I12,IF(100*$L$37/$L$38&lt;='Drop Down Options'!$F$13,'Drop Down Options'!I13,IF(100*$L$37/$L$38&lt;='Drop Down Options'!$F$14,'Drop Down Options'!I14,IF(100*$L$37/$L$38&lt;='Drop Down Options'!$F$15,'Drop Down Options'!I15,IF(100*$L$37/$L$38&lt;='Drop Down Options'!$F$16,'Drop Down Options'!I16,IF(100*$L$37/$L$38&lt;='Drop Down Options'!$F$17,'Drop Down Options'!I17,'Drop Down Options'!I18)))))))</f>
        <v>Value required</v>
      </c>
      <c r="P37" s="10"/>
      <c r="Q37" s="218"/>
      <c r="R37" s="218"/>
      <c r="V37" s="218"/>
      <c r="W37" s="218"/>
      <c r="AB37" s="10"/>
      <c r="AC37" s="218" t="s">
        <v>279</v>
      </c>
      <c r="AD37" s="218"/>
      <c r="AE37" s="218"/>
    </row>
    <row r="38" spans="1:32">
      <c r="A38" s="4" t="s">
        <v>42</v>
      </c>
      <c r="B38" s="4"/>
      <c r="C38" s="4"/>
      <c r="D38" s="4"/>
      <c r="E38" s="4"/>
      <c r="F38" s="4"/>
      <c r="G38" s="4"/>
      <c r="H38" s="4"/>
      <c r="I38" s="4"/>
      <c r="J38" s="4"/>
      <c r="K38" s="20" t="s">
        <v>34</v>
      </c>
      <c r="L38" s="193"/>
      <c r="M38" s="5"/>
      <c r="N38" s="5"/>
      <c r="P38" s="10"/>
      <c r="Q38" s="218"/>
      <c r="R38" s="218"/>
      <c r="V38" s="218"/>
      <c r="W38" s="218"/>
      <c r="AB38" s="10"/>
      <c r="AC38" s="218"/>
      <c r="AD38" s="218"/>
      <c r="AE38" s="218"/>
    </row>
    <row r="39" spans="1:32">
      <c r="A39" s="4"/>
      <c r="B39" s="4"/>
      <c r="C39" s="4"/>
      <c r="D39" s="4"/>
      <c r="E39" s="4"/>
      <c r="F39" s="4"/>
      <c r="G39" s="4"/>
      <c r="H39" s="4"/>
      <c r="I39" s="4"/>
      <c r="J39" s="4"/>
      <c r="K39" s="20"/>
      <c r="L39" s="35"/>
      <c r="M39" s="5"/>
      <c r="N39" s="5"/>
      <c r="P39" s="10"/>
      <c r="Q39" s="218"/>
      <c r="R39" s="218"/>
      <c r="V39" s="218"/>
      <c r="W39" s="218"/>
      <c r="AB39" s="10"/>
      <c r="AC39" s="218"/>
      <c r="AD39" s="218"/>
      <c r="AE39" s="218"/>
    </row>
    <row r="40" spans="1:32">
      <c r="A40" s="36" t="s">
        <v>177</v>
      </c>
      <c r="B40" s="9"/>
      <c r="C40" s="9"/>
      <c r="D40" s="9"/>
      <c r="E40" s="9"/>
      <c r="F40" s="4"/>
      <c r="G40" s="4"/>
      <c r="H40" s="4"/>
      <c r="I40" s="4"/>
      <c r="J40" s="4"/>
      <c r="K40" s="20"/>
      <c r="L40" s="35"/>
      <c r="M40" s="5"/>
      <c r="N40" s="5"/>
      <c r="P40" s="10"/>
      <c r="Q40" s="218"/>
      <c r="R40" s="218"/>
      <c r="V40" s="218"/>
      <c r="W40" s="218"/>
      <c r="AB40" s="10"/>
      <c r="AC40" s="218"/>
      <c r="AD40" s="218"/>
      <c r="AE40" s="218"/>
    </row>
    <row r="41" spans="1:32">
      <c r="A41" s="38" t="s">
        <v>178</v>
      </c>
      <c r="B41" s="9"/>
      <c r="C41" s="9"/>
      <c r="D41" s="9"/>
      <c r="E41" s="9"/>
      <c r="F41" s="4"/>
      <c r="G41" s="4" t="s">
        <v>183</v>
      </c>
      <c r="H41" s="4"/>
      <c r="I41" s="4"/>
      <c r="J41" s="4"/>
      <c r="K41" s="20"/>
      <c r="L41" s="35"/>
      <c r="M41" s="5"/>
      <c r="N41" s="5"/>
      <c r="P41" s="10"/>
      <c r="Q41" s="218"/>
      <c r="R41" s="218"/>
      <c r="V41" s="218"/>
      <c r="W41" s="218"/>
      <c r="AB41" s="10"/>
      <c r="AC41" s="219" t="s">
        <v>324</v>
      </c>
      <c r="AD41" s="219"/>
      <c r="AE41" s="219"/>
    </row>
    <row r="42" spans="1:32">
      <c r="A42" s="38" t="s">
        <v>179</v>
      </c>
      <c r="B42" s="9"/>
      <c r="C42" s="9"/>
      <c r="D42" s="9"/>
      <c r="E42" s="9"/>
      <c r="F42" s="4"/>
      <c r="G42" s="4" t="s">
        <v>182</v>
      </c>
      <c r="H42" s="4"/>
      <c r="I42" s="4"/>
      <c r="J42" s="4"/>
      <c r="K42" s="20"/>
      <c r="L42" s="35"/>
      <c r="M42" s="5"/>
      <c r="N42" s="5"/>
      <c r="P42" s="10"/>
      <c r="AB42" s="10"/>
    </row>
    <row r="43" spans="1:32">
      <c r="A43" s="4"/>
      <c r="B43" s="4"/>
      <c r="C43" s="4"/>
      <c r="D43" s="4"/>
      <c r="E43" s="4"/>
      <c r="F43" s="4"/>
      <c r="G43" s="4"/>
      <c r="H43" s="4"/>
      <c r="I43" s="4"/>
      <c r="J43" s="4"/>
      <c r="K43" s="20"/>
      <c r="L43" s="35"/>
      <c r="M43" s="5"/>
      <c r="N43" s="5"/>
      <c r="P43" s="10"/>
      <c r="AB43" s="10"/>
    </row>
    <row r="44" spans="1:32">
      <c r="A44" s="30"/>
      <c r="B44" s="30"/>
      <c r="C44" s="30"/>
      <c r="D44" s="30"/>
      <c r="E44" s="30"/>
      <c r="F44" s="30"/>
      <c r="G44" s="30"/>
      <c r="H44" s="30"/>
      <c r="I44" s="30"/>
      <c r="J44" s="30"/>
      <c r="K44" s="30"/>
      <c r="L44" s="42" t="e">
        <f>DEGREES(ATAN(L37/L38))</f>
        <v>#DIV/0!</v>
      </c>
      <c r="M44" s="28"/>
      <c r="N44" s="28"/>
      <c r="O44" s="28"/>
      <c r="P44" s="40"/>
      <c r="Q44" s="30"/>
      <c r="R44" s="30"/>
      <c r="S44" s="30"/>
      <c r="T44" s="30"/>
      <c r="U44" s="30"/>
      <c r="V44" s="30"/>
      <c r="W44" s="30"/>
      <c r="X44" s="30"/>
      <c r="Y44" s="30"/>
      <c r="Z44" s="30"/>
      <c r="AA44" s="30"/>
      <c r="AB44" s="40"/>
      <c r="AC44" s="30"/>
      <c r="AD44" s="30"/>
      <c r="AE44" s="30"/>
    </row>
    <row r="45" spans="1:32">
      <c r="A45" s="4"/>
      <c r="B45" s="4"/>
      <c r="C45" s="4"/>
      <c r="D45" s="4"/>
      <c r="E45" s="4"/>
      <c r="F45" s="4"/>
      <c r="G45" s="4"/>
      <c r="H45" s="4"/>
      <c r="I45" s="4"/>
      <c r="J45" s="4"/>
      <c r="K45" s="4"/>
      <c r="L45" s="43"/>
      <c r="M45" s="5"/>
      <c r="N45" s="5"/>
      <c r="P45" s="10"/>
      <c r="AB45" s="10"/>
    </row>
    <row r="46" spans="1:32" ht="15" customHeight="1">
      <c r="A46" s="7" t="s">
        <v>8</v>
      </c>
      <c r="B46" s="4"/>
      <c r="C46" s="4"/>
      <c r="D46" s="4"/>
      <c r="E46" s="4"/>
      <c r="F46" s="4"/>
      <c r="G46" s="4"/>
      <c r="H46" s="4"/>
      <c r="I46" s="4"/>
      <c r="J46" s="4"/>
      <c r="K46" s="4"/>
      <c r="L46" s="11"/>
      <c r="M46" s="5"/>
      <c r="N46" s="5"/>
      <c r="P46" s="10"/>
      <c r="AB46" s="10"/>
      <c r="AC46" s="4" t="s">
        <v>326</v>
      </c>
    </row>
    <row r="47" spans="1:32" ht="15" customHeight="1">
      <c r="A47" s="4" t="s">
        <v>40</v>
      </c>
      <c r="B47" s="4"/>
      <c r="C47" s="4"/>
      <c r="D47" s="4"/>
      <c r="E47" s="4"/>
      <c r="F47" s="4"/>
      <c r="G47" s="4"/>
      <c r="H47" s="4"/>
      <c r="I47" s="4"/>
      <c r="J47" s="4"/>
      <c r="K47" s="4"/>
      <c r="L47" s="190"/>
      <c r="M47" s="5" t="e">
        <f>VLOOKUP($L47,'Drop Down Options'!$D$43:$F$46,2,FALSE)</f>
        <v>#N/A</v>
      </c>
      <c r="N47" s="5" t="e">
        <f>VLOOKUP($L47,'Drop Down Options'!$D$43:$F$46,3,FALSE)</f>
        <v>#N/A</v>
      </c>
      <c r="P47" s="10"/>
      <c r="Q47" s="218" t="s">
        <v>184</v>
      </c>
      <c r="R47" s="218"/>
      <c r="V47" s="218" t="s">
        <v>185</v>
      </c>
      <c r="W47" s="218"/>
      <c r="AB47" s="10"/>
    </row>
    <row r="48" spans="1:32">
      <c r="A48" s="4" t="s">
        <v>41</v>
      </c>
      <c r="B48" s="4"/>
      <c r="C48" s="4"/>
      <c r="D48" s="4"/>
      <c r="E48" s="4"/>
      <c r="F48" s="4"/>
      <c r="G48" s="4"/>
      <c r="H48" s="4"/>
      <c r="I48" s="4"/>
      <c r="J48" s="4"/>
      <c r="K48" s="4"/>
      <c r="L48" s="11"/>
      <c r="M48" s="5"/>
      <c r="N48" s="5"/>
      <c r="P48" s="10"/>
      <c r="Q48" s="218"/>
      <c r="R48" s="218"/>
      <c r="V48" s="218"/>
      <c r="W48" s="218"/>
      <c r="AB48" s="10"/>
      <c r="AD48" s="217"/>
      <c r="AE48" s="217"/>
      <c r="AF48" s="217"/>
    </row>
    <row r="49" spans="1:31">
      <c r="A49" s="4"/>
      <c r="B49" s="4"/>
      <c r="C49" s="4"/>
      <c r="D49" s="4"/>
      <c r="E49" s="4"/>
      <c r="F49" s="4"/>
      <c r="G49" s="4"/>
      <c r="H49" s="4"/>
      <c r="I49" s="4"/>
      <c r="J49" s="4"/>
      <c r="K49" s="4"/>
      <c r="L49" s="11"/>
      <c r="M49" s="5"/>
      <c r="N49" s="5"/>
      <c r="P49" s="10"/>
      <c r="Q49" s="218"/>
      <c r="R49" s="218"/>
      <c r="V49" s="218"/>
      <c r="W49" s="218"/>
      <c r="AB49" s="10"/>
      <c r="AC49" s="13"/>
      <c r="AD49" s="13"/>
      <c r="AE49" s="13"/>
    </row>
    <row r="50" spans="1:31" ht="15" customHeight="1">
      <c r="A50" s="4" t="s">
        <v>177</v>
      </c>
      <c r="B50" s="4"/>
      <c r="C50" s="4"/>
      <c r="D50" s="4"/>
      <c r="E50" s="4"/>
      <c r="F50" s="4"/>
      <c r="G50" s="4"/>
      <c r="H50" s="4"/>
      <c r="I50" s="4"/>
      <c r="J50" s="4"/>
      <c r="K50" s="4"/>
      <c r="L50" s="11"/>
      <c r="M50" s="5"/>
      <c r="N50" s="5"/>
      <c r="P50" s="10"/>
      <c r="Q50" s="218"/>
      <c r="R50" s="218"/>
      <c r="V50" s="218"/>
      <c r="W50" s="218"/>
      <c r="AB50" s="10"/>
      <c r="AC50" s="218"/>
      <c r="AD50" s="218"/>
      <c r="AE50" s="218"/>
    </row>
    <row r="51" spans="1:31">
      <c r="A51" s="37" t="s">
        <v>180</v>
      </c>
      <c r="B51" s="4"/>
      <c r="C51" s="4"/>
      <c r="D51" s="4"/>
      <c r="E51" s="4"/>
      <c r="F51" s="4"/>
      <c r="G51" s="4" t="s">
        <v>181</v>
      </c>
      <c r="H51" s="4"/>
      <c r="I51" s="4"/>
      <c r="J51" s="4"/>
      <c r="K51" s="4"/>
      <c r="L51" s="11"/>
      <c r="M51" s="5"/>
      <c r="N51" s="5"/>
      <c r="P51" s="10"/>
      <c r="Q51" s="218"/>
      <c r="R51" s="218"/>
      <c r="V51" s="218"/>
      <c r="W51" s="218"/>
      <c r="AB51" s="10"/>
      <c r="AC51" s="218"/>
      <c r="AD51" s="218"/>
      <c r="AE51" s="218"/>
    </row>
    <row r="52" spans="1:31">
      <c r="A52" s="15" t="s">
        <v>443</v>
      </c>
      <c r="B52" s="4"/>
      <c r="C52" s="4"/>
      <c r="D52" s="4"/>
      <c r="E52" s="4"/>
      <c r="F52" s="4"/>
      <c r="G52" s="4"/>
      <c r="H52" s="4"/>
      <c r="I52" s="4"/>
      <c r="J52" s="4"/>
      <c r="K52" s="4"/>
      <c r="L52" s="11"/>
      <c r="M52" s="5"/>
      <c r="N52" s="5"/>
      <c r="P52" s="10"/>
      <c r="Q52" s="218"/>
      <c r="R52" s="218"/>
      <c r="V52" s="218"/>
      <c r="W52" s="218"/>
      <c r="AB52" s="10"/>
      <c r="AC52" s="218"/>
      <c r="AD52" s="218"/>
      <c r="AE52" s="218"/>
    </row>
    <row r="53" spans="1:31">
      <c r="A53" s="23"/>
      <c r="B53" s="4"/>
      <c r="C53" s="4"/>
      <c r="D53" s="4"/>
      <c r="E53" s="4"/>
      <c r="F53" s="4"/>
      <c r="G53" s="4"/>
      <c r="H53" s="4"/>
      <c r="I53" s="4"/>
      <c r="J53" s="4"/>
      <c r="K53" s="4"/>
      <c r="L53" s="11"/>
      <c r="M53" s="5"/>
      <c r="N53" s="5"/>
      <c r="P53" s="10"/>
      <c r="Q53" s="218"/>
      <c r="R53" s="218"/>
      <c r="V53" s="218"/>
      <c r="W53" s="218"/>
      <c r="AB53" s="10"/>
    </row>
    <row r="54" spans="1:31">
      <c r="A54" s="4"/>
      <c r="B54" s="4"/>
      <c r="C54" s="4"/>
      <c r="D54" s="4"/>
      <c r="E54" s="4"/>
      <c r="F54" s="4"/>
      <c r="G54" s="4"/>
      <c r="H54" s="4"/>
      <c r="I54" s="4"/>
      <c r="J54" s="4"/>
      <c r="K54" s="4"/>
      <c r="L54" s="11"/>
      <c r="M54" s="5"/>
      <c r="N54" s="5"/>
      <c r="P54" s="10"/>
      <c r="Q54" s="218"/>
      <c r="R54" s="218"/>
      <c r="V54" s="218"/>
      <c r="W54" s="218"/>
      <c r="AB54" s="10"/>
      <c r="AC54" s="217"/>
      <c r="AD54" s="217"/>
      <c r="AE54" s="217"/>
    </row>
    <row r="55" spans="1:31">
      <c r="A55" s="4"/>
      <c r="B55" s="4"/>
      <c r="C55" s="4"/>
      <c r="D55" s="4"/>
      <c r="E55" s="4"/>
      <c r="F55" s="4"/>
      <c r="G55" s="4"/>
      <c r="H55" s="4"/>
      <c r="I55" s="4"/>
      <c r="J55" s="4"/>
      <c r="K55" s="4"/>
      <c r="L55" s="11"/>
      <c r="M55" s="5"/>
      <c r="N55" s="5"/>
      <c r="P55" s="10"/>
      <c r="V55" s="218"/>
      <c r="W55" s="218"/>
      <c r="AB55" s="10"/>
      <c r="AC55" s="217"/>
      <c r="AD55" s="217"/>
      <c r="AE55" s="217"/>
    </row>
    <row r="56" spans="1:31">
      <c r="A56" s="4"/>
      <c r="B56" s="4"/>
      <c r="C56" s="4"/>
      <c r="D56" s="4"/>
      <c r="E56" s="4"/>
      <c r="F56" s="4"/>
      <c r="G56" s="4"/>
      <c r="H56" s="4"/>
      <c r="I56" s="4"/>
      <c r="J56" s="4"/>
      <c r="K56" s="4"/>
      <c r="L56" s="11"/>
      <c r="M56" s="5"/>
      <c r="N56" s="5"/>
      <c r="P56" s="10"/>
      <c r="V56" s="218"/>
      <c r="W56" s="218"/>
      <c r="AB56" s="10"/>
    </row>
    <row r="57" spans="1:31">
      <c r="A57" s="30"/>
      <c r="B57" s="30"/>
      <c r="C57" s="30"/>
      <c r="D57" s="30"/>
      <c r="E57" s="30"/>
      <c r="F57" s="30"/>
      <c r="G57" s="30"/>
      <c r="H57" s="30"/>
      <c r="I57" s="30"/>
      <c r="J57" s="30"/>
      <c r="K57" s="30"/>
      <c r="L57" s="39"/>
      <c r="M57" s="28"/>
      <c r="N57" s="28"/>
      <c r="O57" s="28"/>
      <c r="P57" s="40"/>
      <c r="Q57" s="30"/>
      <c r="R57" s="30"/>
      <c r="S57" s="30"/>
      <c r="T57" s="30"/>
      <c r="U57" s="30"/>
      <c r="V57" s="41"/>
      <c r="W57" s="41"/>
      <c r="X57" s="30"/>
      <c r="Y57" s="30"/>
      <c r="Z57" s="30"/>
      <c r="AA57" s="30"/>
      <c r="AB57" s="40"/>
      <c r="AC57" s="30"/>
      <c r="AD57" s="30"/>
      <c r="AE57" s="30"/>
    </row>
    <row r="58" spans="1:31">
      <c r="A58" s="4"/>
      <c r="B58" s="4"/>
      <c r="C58" s="4"/>
      <c r="D58" s="4"/>
      <c r="E58" s="4"/>
      <c r="F58" s="4"/>
      <c r="G58" s="4"/>
      <c r="H58" s="4"/>
      <c r="I58" s="4"/>
      <c r="J58" s="4"/>
      <c r="K58" s="4"/>
      <c r="L58" s="11"/>
      <c r="M58" s="5"/>
      <c r="N58" s="5"/>
      <c r="P58" s="10"/>
      <c r="V58" s="9"/>
      <c r="W58" s="9"/>
      <c r="AB58" s="10"/>
    </row>
    <row r="59" spans="1:31" ht="15" customHeight="1">
      <c r="A59" s="7" t="s">
        <v>9</v>
      </c>
      <c r="B59" s="4"/>
      <c r="C59" s="4"/>
      <c r="D59" s="4"/>
      <c r="E59" s="4"/>
      <c r="F59" s="4"/>
      <c r="G59" s="4"/>
      <c r="H59" s="4"/>
      <c r="I59" s="4"/>
      <c r="J59" s="4"/>
      <c r="K59" s="4"/>
      <c r="L59" s="190"/>
      <c r="M59" s="5" t="e">
        <f>VLOOKUP($L59,'Drop Down Options'!$D$49:$F$55,2,FALSE)</f>
        <v>#N/A</v>
      </c>
      <c r="N59" s="5" t="e">
        <f>VLOOKUP($L59,'Drop Down Options'!$D$49:$F$55,3,FALSE)</f>
        <v>#N/A</v>
      </c>
      <c r="P59" s="10"/>
      <c r="Q59" s="218" t="s">
        <v>275</v>
      </c>
      <c r="R59" s="218"/>
      <c r="AB59" s="10"/>
      <c r="AC59" s="4" t="s">
        <v>280</v>
      </c>
    </row>
    <row r="60" spans="1:31">
      <c r="A60" s="218" t="s">
        <v>49</v>
      </c>
      <c r="B60" s="218"/>
      <c r="C60" s="218"/>
      <c r="D60" s="218"/>
      <c r="E60" s="218"/>
      <c r="F60" s="218"/>
      <c r="G60" s="218"/>
      <c r="H60" s="218"/>
      <c r="I60" s="218"/>
      <c r="J60" s="218"/>
      <c r="K60" s="218"/>
      <c r="L60" s="11"/>
      <c r="M60" s="5"/>
      <c r="N60" s="5"/>
      <c r="P60" s="10"/>
      <c r="Q60" s="218"/>
      <c r="R60" s="218"/>
      <c r="AB60" s="10"/>
      <c r="AC60" s="4" t="s">
        <v>328</v>
      </c>
    </row>
    <row r="61" spans="1:31">
      <c r="A61" s="218"/>
      <c r="B61" s="218"/>
      <c r="C61" s="218"/>
      <c r="D61" s="218"/>
      <c r="E61" s="218"/>
      <c r="F61" s="218"/>
      <c r="G61" s="218"/>
      <c r="H61" s="218"/>
      <c r="I61" s="218"/>
      <c r="J61" s="218"/>
      <c r="K61" s="218"/>
      <c r="L61" s="5"/>
      <c r="M61" s="5"/>
      <c r="N61" s="5"/>
      <c r="P61" s="10"/>
      <c r="Q61" s="218"/>
      <c r="R61" s="218"/>
      <c r="AB61" s="10"/>
    </row>
    <row r="62" spans="1:31">
      <c r="A62" s="218"/>
      <c r="B62" s="218"/>
      <c r="C62" s="218"/>
      <c r="D62" s="218"/>
      <c r="E62" s="218"/>
      <c r="F62" s="218"/>
      <c r="G62" s="218"/>
      <c r="H62" s="218"/>
      <c r="I62" s="218"/>
      <c r="J62" s="218"/>
      <c r="K62" s="218"/>
      <c r="L62" s="5"/>
      <c r="M62" s="5"/>
      <c r="N62" s="5"/>
      <c r="P62" s="10"/>
      <c r="Q62" s="218"/>
      <c r="R62" s="218"/>
      <c r="AB62" s="10"/>
    </row>
    <row r="63" spans="1:31">
      <c r="A63" s="9"/>
      <c r="B63" s="9"/>
      <c r="C63" s="9"/>
      <c r="D63" s="9"/>
      <c r="E63" s="9"/>
      <c r="F63" s="9"/>
      <c r="G63" s="9"/>
      <c r="H63" s="9"/>
      <c r="I63" s="9"/>
      <c r="J63" s="9"/>
      <c r="K63" s="9"/>
      <c r="L63" s="240"/>
      <c r="M63" s="5"/>
      <c r="N63" s="5"/>
      <c r="P63" s="10"/>
      <c r="Q63" s="218"/>
      <c r="R63" s="218"/>
      <c r="AB63" s="10"/>
    </row>
    <row r="64" spans="1:31">
      <c r="A64" s="9"/>
      <c r="B64" s="9"/>
      <c r="C64" s="9"/>
      <c r="D64" s="9"/>
      <c r="E64" s="9"/>
      <c r="F64" s="9"/>
      <c r="G64" s="9"/>
      <c r="H64" s="9"/>
      <c r="I64" s="9"/>
      <c r="J64" s="9"/>
      <c r="K64" s="9"/>
      <c r="L64" s="240"/>
      <c r="M64" s="5"/>
      <c r="N64" s="5"/>
      <c r="P64" s="10"/>
      <c r="Q64" s="218"/>
      <c r="R64" s="218"/>
      <c r="AB64" s="10"/>
    </row>
    <row r="65" spans="1:31">
      <c r="A65" s="9"/>
      <c r="B65" s="9"/>
      <c r="C65" s="9"/>
      <c r="D65" s="9"/>
      <c r="E65" s="9"/>
      <c r="F65" s="9"/>
      <c r="G65" s="9"/>
      <c r="H65" s="9"/>
      <c r="I65" s="9"/>
      <c r="J65" s="9"/>
      <c r="K65" s="9"/>
      <c r="L65" s="240"/>
      <c r="M65" s="5"/>
      <c r="N65" s="5"/>
      <c r="P65" s="10"/>
      <c r="Q65" s="218"/>
      <c r="R65" s="218"/>
      <c r="AB65" s="10"/>
    </row>
    <row r="66" spans="1:31">
      <c r="A66" s="9"/>
      <c r="B66" s="9"/>
      <c r="C66" s="9"/>
      <c r="D66" s="9"/>
      <c r="E66" s="9"/>
      <c r="F66" s="9"/>
      <c r="G66" s="9"/>
      <c r="H66" s="9"/>
      <c r="I66" s="9"/>
      <c r="J66" s="9"/>
      <c r="K66" s="9"/>
      <c r="L66" s="5"/>
      <c r="M66" s="5"/>
      <c r="N66" s="5"/>
      <c r="P66" s="10"/>
      <c r="AB66" s="10"/>
    </row>
    <row r="67" spans="1:31">
      <c r="A67" s="9"/>
      <c r="B67" s="9"/>
      <c r="C67" s="9"/>
      <c r="D67" s="9"/>
      <c r="E67" s="9"/>
      <c r="F67" s="9"/>
      <c r="G67" s="9"/>
      <c r="H67" s="9"/>
      <c r="I67" s="9"/>
      <c r="J67" s="9"/>
      <c r="K67" s="9"/>
      <c r="L67" s="22"/>
      <c r="M67" s="5"/>
      <c r="N67" s="5"/>
      <c r="P67" s="10"/>
      <c r="AB67" s="10"/>
    </row>
    <row r="68" spans="1:31">
      <c r="A68" s="9"/>
      <c r="B68" s="9"/>
      <c r="C68" s="9"/>
      <c r="D68" s="9"/>
      <c r="E68" s="9"/>
      <c r="F68" s="9"/>
      <c r="G68" s="9"/>
      <c r="H68" s="9"/>
      <c r="I68" s="9"/>
      <c r="J68" s="9"/>
      <c r="K68" s="9"/>
      <c r="L68" s="5"/>
      <c r="M68" s="5"/>
      <c r="N68" s="5"/>
      <c r="P68" s="10"/>
      <c r="AB68" s="10"/>
    </row>
    <row r="69" spans="1:31">
      <c r="A69" s="9"/>
      <c r="B69" s="9"/>
      <c r="C69" s="9"/>
      <c r="D69" s="9"/>
      <c r="E69" s="9"/>
      <c r="F69" s="9"/>
      <c r="G69" s="9"/>
      <c r="H69" s="9"/>
      <c r="I69" s="9"/>
      <c r="J69" s="9"/>
      <c r="K69" s="9"/>
      <c r="L69" s="5"/>
      <c r="M69" s="5"/>
      <c r="N69" s="5"/>
      <c r="P69" s="10"/>
      <c r="AB69" s="10"/>
    </row>
    <row r="70" spans="1:31">
      <c r="A70" s="41"/>
      <c r="B70" s="41"/>
      <c r="C70" s="41"/>
      <c r="D70" s="41"/>
      <c r="E70" s="41"/>
      <c r="F70" s="41"/>
      <c r="G70" s="41"/>
      <c r="H70" s="41"/>
      <c r="I70" s="41"/>
      <c r="J70" s="41"/>
      <c r="K70" s="41"/>
      <c r="L70" s="28"/>
      <c r="M70" s="28"/>
      <c r="N70" s="28"/>
      <c r="O70" s="28"/>
      <c r="P70" s="40"/>
      <c r="Q70" s="30"/>
      <c r="R70" s="30"/>
      <c r="S70" s="30"/>
      <c r="T70" s="30"/>
      <c r="U70" s="30"/>
      <c r="V70" s="30"/>
      <c r="W70" s="30"/>
      <c r="X70" s="30"/>
      <c r="Y70" s="30"/>
      <c r="Z70" s="30"/>
      <c r="AA70" s="30"/>
      <c r="AB70" s="40"/>
      <c r="AC70" s="30"/>
      <c r="AD70" s="30"/>
      <c r="AE70" s="30"/>
    </row>
    <row r="71" spans="1:31">
      <c r="A71" s="4"/>
      <c r="B71" s="4"/>
      <c r="C71" s="4"/>
      <c r="D71" s="4"/>
      <c r="E71" s="4"/>
      <c r="F71" s="4"/>
      <c r="G71" s="4"/>
      <c r="H71" s="4"/>
      <c r="I71" s="4"/>
      <c r="J71" s="4"/>
      <c r="K71" s="4"/>
      <c r="L71" s="5"/>
      <c r="M71" s="5"/>
      <c r="N71" s="5"/>
      <c r="P71" s="10"/>
      <c r="AB71" s="10"/>
    </row>
    <row r="72" spans="1:31">
      <c r="A72" s="7" t="s">
        <v>10</v>
      </c>
      <c r="B72" s="4"/>
      <c r="C72" s="4"/>
      <c r="D72" s="4"/>
      <c r="E72" s="4"/>
      <c r="F72" s="4"/>
      <c r="G72" s="4"/>
      <c r="H72" s="4"/>
      <c r="I72" s="4"/>
      <c r="J72" s="4"/>
      <c r="K72" s="4"/>
      <c r="L72" s="190"/>
      <c r="M72" s="5" t="e">
        <f>VLOOKUP($L72,'Drop Down Options'!$D$58:$F$63,2,FALSE)</f>
        <v>#N/A</v>
      </c>
      <c r="N72" s="5" t="e">
        <f>VLOOKUP($L72,'Drop Down Options'!$D$58:$F$63,3,FALSE)</f>
        <v>#N/A</v>
      </c>
      <c r="P72" s="10"/>
      <c r="Q72" s="218" t="s">
        <v>276</v>
      </c>
      <c r="R72" s="218"/>
      <c r="AB72" s="10"/>
      <c r="AC72" s="4" t="s">
        <v>327</v>
      </c>
    </row>
    <row r="73" spans="1:31">
      <c r="A73" s="218" t="s">
        <v>53</v>
      </c>
      <c r="B73" s="218"/>
      <c r="C73" s="218"/>
      <c r="D73" s="218"/>
      <c r="E73" s="218"/>
      <c r="F73" s="218"/>
      <c r="G73" s="218"/>
      <c r="H73" s="218"/>
      <c r="I73" s="218"/>
      <c r="J73" s="218"/>
      <c r="K73" s="218"/>
      <c r="L73" s="5"/>
      <c r="M73" s="5"/>
      <c r="N73" s="5"/>
      <c r="P73" s="10"/>
      <c r="Q73" s="218"/>
      <c r="R73" s="218"/>
      <c r="AB73" s="10"/>
    </row>
    <row r="74" spans="1:31">
      <c r="A74" s="218"/>
      <c r="B74" s="218"/>
      <c r="C74" s="218"/>
      <c r="D74" s="218"/>
      <c r="E74" s="218"/>
      <c r="F74" s="218"/>
      <c r="G74" s="218"/>
      <c r="H74" s="218"/>
      <c r="I74" s="218"/>
      <c r="J74" s="218"/>
      <c r="K74" s="218"/>
      <c r="L74" s="5"/>
      <c r="M74" s="5"/>
      <c r="N74" s="5"/>
      <c r="P74" s="10"/>
      <c r="Q74" s="218"/>
      <c r="R74" s="218"/>
      <c r="AB74" s="10"/>
    </row>
    <row r="75" spans="1:31">
      <c r="A75" s="218"/>
      <c r="B75" s="218"/>
      <c r="C75" s="218"/>
      <c r="D75" s="218"/>
      <c r="E75" s="218"/>
      <c r="F75" s="218"/>
      <c r="G75" s="218"/>
      <c r="H75" s="218"/>
      <c r="I75" s="218"/>
      <c r="J75" s="218"/>
      <c r="K75" s="218"/>
      <c r="L75" s="5"/>
      <c r="M75" s="5"/>
      <c r="N75" s="5"/>
      <c r="P75" s="10"/>
      <c r="Q75" s="218"/>
      <c r="R75" s="218"/>
      <c r="AB75" s="10"/>
    </row>
    <row r="76" spans="1:31">
      <c r="A76" s="4"/>
      <c r="B76" s="4"/>
      <c r="C76" s="4"/>
      <c r="D76" s="4"/>
      <c r="E76" s="4"/>
      <c r="F76" s="4"/>
      <c r="G76" s="4"/>
      <c r="H76" s="4"/>
      <c r="I76" s="4"/>
      <c r="J76" s="4"/>
      <c r="K76" s="4"/>
      <c r="L76" s="5"/>
      <c r="M76" s="5"/>
      <c r="N76" s="5"/>
      <c r="P76" s="10"/>
      <c r="Q76" s="218"/>
      <c r="R76" s="218"/>
      <c r="AB76" s="10"/>
    </row>
    <row r="77" spans="1:31">
      <c r="A77" s="4"/>
      <c r="B77" s="4"/>
      <c r="C77" s="4"/>
      <c r="D77" s="4"/>
      <c r="E77" s="4"/>
      <c r="F77" s="4"/>
      <c r="G77" s="4"/>
      <c r="H77" s="4"/>
      <c r="I77" s="4"/>
      <c r="J77" s="4"/>
      <c r="K77" s="4"/>
      <c r="L77" s="5"/>
      <c r="M77" s="5"/>
      <c r="N77" s="5"/>
      <c r="P77" s="10"/>
      <c r="Q77" s="218"/>
      <c r="R77" s="218"/>
      <c r="AB77" s="10"/>
    </row>
    <row r="78" spans="1:31">
      <c r="A78" s="4"/>
      <c r="B78" s="4"/>
      <c r="C78" s="4"/>
      <c r="D78" s="4"/>
      <c r="E78" s="4"/>
      <c r="F78" s="4"/>
      <c r="G78" s="4"/>
      <c r="H78" s="4"/>
      <c r="I78" s="4"/>
      <c r="J78" s="4"/>
      <c r="K78" s="4"/>
      <c r="L78" s="5"/>
      <c r="M78" s="5"/>
      <c r="N78" s="5"/>
      <c r="P78" s="10"/>
      <c r="Q78" s="218"/>
      <c r="R78" s="218"/>
      <c r="AB78" s="10"/>
    </row>
    <row r="79" spans="1:31">
      <c r="A79" s="4"/>
      <c r="B79" s="4"/>
      <c r="C79" s="4"/>
      <c r="D79" s="4"/>
      <c r="E79" s="4"/>
      <c r="F79" s="4"/>
      <c r="G79" s="4"/>
      <c r="H79" s="4"/>
      <c r="I79" s="4"/>
      <c r="J79" s="4"/>
      <c r="K79" s="4"/>
      <c r="L79" s="5"/>
      <c r="M79" s="5"/>
      <c r="N79" s="5"/>
      <c r="P79" s="10"/>
      <c r="Q79" s="218"/>
      <c r="R79" s="218"/>
      <c r="AB79" s="10"/>
    </row>
    <row r="80" spans="1:31">
      <c r="A80" s="4"/>
      <c r="B80" s="4"/>
      <c r="C80" s="4"/>
      <c r="D80" s="4"/>
      <c r="E80" s="4"/>
      <c r="F80" s="4"/>
      <c r="G80" s="4"/>
      <c r="H80" s="4"/>
      <c r="I80" s="4"/>
      <c r="J80" s="4"/>
      <c r="K80" s="4"/>
      <c r="L80" s="5"/>
      <c r="M80" s="5"/>
      <c r="N80" s="5"/>
      <c r="P80" s="10"/>
      <c r="Q80" s="218"/>
      <c r="R80" s="218"/>
      <c r="AB80" s="10"/>
    </row>
    <row r="81" spans="1:31">
      <c r="A81" s="4"/>
      <c r="B81" s="4"/>
      <c r="C81" s="4"/>
      <c r="D81" s="4"/>
      <c r="E81" s="4"/>
      <c r="F81" s="4"/>
      <c r="G81" s="4"/>
      <c r="H81" s="4"/>
      <c r="I81" s="4"/>
      <c r="J81" s="4"/>
      <c r="K81" s="4"/>
      <c r="L81" s="5"/>
      <c r="M81" s="5"/>
      <c r="N81" s="5"/>
      <c r="P81" s="10"/>
      <c r="AB81" s="10"/>
    </row>
    <row r="82" spans="1:31">
      <c r="A82" s="4"/>
      <c r="B82" s="4"/>
      <c r="C82" s="4"/>
      <c r="D82" s="4"/>
      <c r="E82" s="4"/>
      <c r="F82" s="4"/>
      <c r="G82" s="4"/>
      <c r="H82" s="4"/>
      <c r="I82" s="4"/>
      <c r="J82" s="4"/>
      <c r="K82" s="4"/>
      <c r="L82" s="5"/>
      <c r="M82" s="5"/>
      <c r="N82" s="5"/>
      <c r="P82" s="10"/>
      <c r="AB82" s="10"/>
    </row>
    <row r="83" spans="1:31">
      <c r="A83" s="30"/>
      <c r="B83" s="30"/>
      <c r="C83" s="30"/>
      <c r="D83" s="30"/>
      <c r="E83" s="30"/>
      <c r="F83" s="30"/>
      <c r="G83" s="30"/>
      <c r="H83" s="30"/>
      <c r="I83" s="30"/>
      <c r="J83" s="30"/>
      <c r="K83" s="30"/>
      <c r="L83" s="28"/>
      <c r="M83" s="28"/>
      <c r="N83" s="28"/>
      <c r="O83" s="28"/>
      <c r="P83" s="40"/>
      <c r="Q83" s="30"/>
      <c r="R83" s="30"/>
      <c r="S83" s="30"/>
      <c r="T83" s="30"/>
      <c r="U83" s="30"/>
      <c r="V83" s="30"/>
      <c r="W83" s="30"/>
      <c r="X83" s="30"/>
      <c r="Y83" s="30"/>
      <c r="Z83" s="30"/>
      <c r="AA83" s="30"/>
      <c r="AB83" s="40"/>
      <c r="AC83" s="30"/>
      <c r="AD83" s="30"/>
      <c r="AE83" s="30"/>
    </row>
    <row r="84" spans="1:31">
      <c r="A84" s="4"/>
      <c r="B84" s="4"/>
      <c r="C84" s="4"/>
      <c r="D84" s="4"/>
      <c r="E84" s="4"/>
      <c r="F84" s="4"/>
      <c r="G84" s="4"/>
      <c r="H84" s="4"/>
      <c r="I84" s="4"/>
      <c r="J84" s="4"/>
      <c r="K84" s="4"/>
      <c r="L84" s="5"/>
      <c r="M84" s="5"/>
      <c r="N84" s="5"/>
      <c r="P84" s="10"/>
      <c r="AB84" s="10"/>
    </row>
    <row r="85" spans="1:31">
      <c r="A85" s="7" t="s">
        <v>11</v>
      </c>
      <c r="B85" s="4"/>
      <c r="C85" s="4"/>
      <c r="D85" s="4"/>
      <c r="E85" s="4"/>
      <c r="F85" s="4"/>
      <c r="G85" s="4"/>
      <c r="H85" s="4"/>
      <c r="I85" s="4"/>
      <c r="J85" s="4"/>
      <c r="K85" s="4"/>
      <c r="L85" s="190"/>
      <c r="M85" s="5" t="e">
        <f>VLOOKUP($L85,'Drop Down Options'!$D$66:$F$70,2,FALSE)</f>
        <v>#N/A</v>
      </c>
      <c r="N85" s="5" t="e">
        <f>VLOOKUP($L85,'Drop Down Options'!$D$66:$F$70,3,FALSE)</f>
        <v>#N/A</v>
      </c>
      <c r="P85" s="10"/>
      <c r="Q85" s="218" t="s">
        <v>364</v>
      </c>
      <c r="R85" s="218"/>
      <c r="AB85" s="10"/>
      <c r="AC85" s="4" t="s">
        <v>329</v>
      </c>
    </row>
    <row r="86" spans="1:31" ht="15" customHeight="1">
      <c r="A86" s="218" t="s">
        <v>66</v>
      </c>
      <c r="B86" s="218"/>
      <c r="C86" s="218"/>
      <c r="D86" s="218"/>
      <c r="E86" s="218"/>
      <c r="F86" s="218"/>
      <c r="G86" s="218"/>
      <c r="H86" s="218"/>
      <c r="I86" s="218"/>
      <c r="J86" s="218"/>
      <c r="K86" s="218"/>
      <c r="L86" s="5"/>
      <c r="M86" s="5"/>
      <c r="N86" s="5"/>
      <c r="P86" s="10"/>
      <c r="Q86" s="218"/>
      <c r="R86" s="218"/>
      <c r="AB86" s="10"/>
    </row>
    <row r="87" spans="1:31">
      <c r="A87" s="218"/>
      <c r="B87" s="218"/>
      <c r="C87" s="218"/>
      <c r="D87" s="218"/>
      <c r="E87" s="218"/>
      <c r="F87" s="218"/>
      <c r="G87" s="218"/>
      <c r="H87" s="218"/>
      <c r="I87" s="218"/>
      <c r="J87" s="218"/>
      <c r="K87" s="218"/>
      <c r="L87" s="5"/>
      <c r="M87" s="5"/>
      <c r="N87" s="5"/>
      <c r="P87" s="10"/>
      <c r="Q87" s="218"/>
      <c r="R87" s="218"/>
      <c r="S87" s="23"/>
      <c r="AB87" s="10"/>
    </row>
    <row r="88" spans="1:31">
      <c r="A88" s="218"/>
      <c r="B88" s="218"/>
      <c r="C88" s="218"/>
      <c r="D88" s="218"/>
      <c r="E88" s="218"/>
      <c r="F88" s="218"/>
      <c r="G88" s="218"/>
      <c r="H88" s="218"/>
      <c r="I88" s="218"/>
      <c r="J88" s="218"/>
      <c r="K88" s="218"/>
      <c r="L88" s="5"/>
      <c r="M88" s="5"/>
      <c r="N88" s="5"/>
      <c r="P88" s="10"/>
      <c r="Q88" s="218"/>
      <c r="R88" s="218"/>
      <c r="AB88" s="10"/>
    </row>
    <row r="89" spans="1:31">
      <c r="A89" s="9"/>
      <c r="B89" s="9"/>
      <c r="C89" s="9"/>
      <c r="D89" s="9"/>
      <c r="E89" s="9"/>
      <c r="F89" s="9"/>
      <c r="G89" s="9"/>
      <c r="H89" s="9"/>
      <c r="I89" s="9"/>
      <c r="J89" s="9"/>
      <c r="K89" s="9"/>
      <c r="L89" s="5"/>
      <c r="M89" s="5"/>
      <c r="N89" s="5"/>
      <c r="P89" s="10"/>
      <c r="Q89" s="218"/>
      <c r="R89" s="218"/>
      <c r="AB89" s="10"/>
    </row>
    <row r="90" spans="1:31">
      <c r="A90" s="9"/>
      <c r="B90" s="9"/>
      <c r="C90" s="9"/>
      <c r="D90" s="9"/>
      <c r="E90" s="9"/>
      <c r="F90" s="9"/>
      <c r="G90" s="9"/>
      <c r="H90" s="9"/>
      <c r="I90" s="9"/>
      <c r="J90" s="9"/>
      <c r="K90" s="9"/>
      <c r="L90" s="5"/>
      <c r="M90" s="5"/>
      <c r="N90" s="5"/>
      <c r="P90" s="10"/>
      <c r="Q90" s="218"/>
      <c r="R90" s="218"/>
      <c r="AB90" s="10"/>
    </row>
    <row r="91" spans="1:31">
      <c r="A91" s="9"/>
      <c r="B91" s="9"/>
      <c r="C91" s="9"/>
      <c r="D91" s="9"/>
      <c r="E91" s="9"/>
      <c r="F91" s="9"/>
      <c r="G91" s="9"/>
      <c r="H91" s="9"/>
      <c r="I91" s="9"/>
      <c r="J91" s="9"/>
      <c r="K91" s="9"/>
      <c r="L91" s="5"/>
      <c r="M91" s="5"/>
      <c r="N91" s="5"/>
      <c r="P91" s="10"/>
      <c r="Q91" s="218"/>
      <c r="R91" s="218"/>
      <c r="AB91" s="10"/>
    </row>
    <row r="92" spans="1:31">
      <c r="A92" s="9"/>
      <c r="B92" s="9"/>
      <c r="C92" s="9"/>
      <c r="D92" s="9"/>
      <c r="E92" s="9"/>
      <c r="F92" s="9"/>
      <c r="G92" s="9"/>
      <c r="H92" s="9"/>
      <c r="I92" s="9"/>
      <c r="J92" s="9"/>
      <c r="K92" s="9"/>
      <c r="L92" s="5"/>
      <c r="M92" s="5"/>
      <c r="N92" s="5"/>
      <c r="P92" s="10"/>
      <c r="AB92" s="10"/>
    </row>
    <row r="93" spans="1:31">
      <c r="A93" s="9"/>
      <c r="B93" s="9"/>
      <c r="C93" s="9"/>
      <c r="D93" s="9"/>
      <c r="E93" s="9"/>
      <c r="F93" s="9"/>
      <c r="G93" s="9"/>
      <c r="H93" s="9"/>
      <c r="I93" s="9"/>
      <c r="J93" s="9"/>
      <c r="K93" s="9"/>
      <c r="L93" s="5"/>
      <c r="M93" s="5"/>
      <c r="N93" s="5"/>
      <c r="P93" s="10"/>
      <c r="AB93" s="10"/>
    </row>
    <row r="94" spans="1:31">
      <c r="A94" s="9"/>
      <c r="B94" s="9"/>
      <c r="C94" s="9"/>
      <c r="D94" s="9"/>
      <c r="E94" s="9"/>
      <c r="F94" s="9"/>
      <c r="G94" s="9"/>
      <c r="H94" s="9"/>
      <c r="I94" s="9"/>
      <c r="J94" s="9"/>
      <c r="K94" s="9"/>
      <c r="L94" s="5"/>
      <c r="M94" s="5"/>
      <c r="N94" s="5"/>
      <c r="P94" s="10"/>
      <c r="AB94" s="10"/>
    </row>
    <row r="95" spans="1:31">
      <c r="A95" s="9"/>
      <c r="B95" s="9"/>
      <c r="C95" s="9"/>
      <c r="D95" s="9"/>
      <c r="E95" s="9"/>
      <c r="F95" s="9"/>
      <c r="G95" s="9"/>
      <c r="H95" s="9"/>
      <c r="I95" s="9"/>
      <c r="J95" s="9"/>
      <c r="K95" s="9"/>
      <c r="L95" s="5"/>
      <c r="M95" s="5"/>
      <c r="N95" s="5"/>
      <c r="P95" s="10"/>
      <c r="AB95" s="10"/>
    </row>
    <row r="96" spans="1:31">
      <c r="A96" s="41"/>
      <c r="B96" s="41"/>
      <c r="C96" s="41"/>
      <c r="D96" s="41"/>
      <c r="E96" s="41"/>
      <c r="F96" s="41"/>
      <c r="G96" s="41"/>
      <c r="H96" s="41"/>
      <c r="I96" s="41"/>
      <c r="J96" s="41"/>
      <c r="K96" s="41"/>
      <c r="L96" s="28"/>
      <c r="M96" s="28"/>
      <c r="N96" s="28"/>
      <c r="O96" s="28"/>
      <c r="P96" s="40"/>
      <c r="Q96" s="30"/>
      <c r="R96" s="30"/>
      <c r="S96" s="30"/>
      <c r="T96" s="30"/>
      <c r="U96" s="30"/>
      <c r="V96" s="30"/>
      <c r="W96" s="30"/>
      <c r="X96" s="30"/>
      <c r="Y96" s="30"/>
      <c r="Z96" s="30"/>
      <c r="AA96" s="30"/>
      <c r="AB96" s="40"/>
      <c r="AC96" s="30"/>
      <c r="AD96" s="30"/>
      <c r="AE96" s="30"/>
    </row>
    <row r="97" spans="1:31">
      <c r="A97" s="4"/>
      <c r="B97" s="4"/>
      <c r="C97" s="4"/>
      <c r="D97" s="4"/>
      <c r="E97" s="4"/>
      <c r="F97" s="4"/>
      <c r="G97" s="4"/>
      <c r="H97" s="4"/>
      <c r="I97" s="4"/>
      <c r="J97" s="4"/>
      <c r="K97" s="4"/>
      <c r="L97" s="5"/>
      <c r="M97" s="5"/>
      <c r="N97" s="5"/>
      <c r="P97" s="10"/>
      <c r="AB97" s="10"/>
    </row>
    <row r="98" spans="1:31" ht="15" customHeight="1">
      <c r="A98" s="14" t="s">
        <v>12</v>
      </c>
      <c r="B98" s="15"/>
      <c r="C98" s="15"/>
      <c r="D98" s="15"/>
      <c r="E98" s="15"/>
      <c r="F98" s="15"/>
      <c r="G98" s="15"/>
      <c r="H98" s="15"/>
      <c r="I98" s="15"/>
      <c r="J98" s="15"/>
      <c r="K98" s="15"/>
      <c r="L98" s="190"/>
      <c r="M98" s="5" t="e">
        <f>IF(L59="Undulating peat among rock outcrops",1,VLOOKUP($L98,'Drop Down Options'!$D$73:$F$76,2,FALSE))</f>
        <v>#N/A</v>
      </c>
      <c r="N98" s="5" t="e">
        <f>IF(L59="Undulating peat among rock outcrops",1,VLOOKUP($L98,'Drop Down Options'!$D$73:$F$76,3,FALSE))</f>
        <v>#N/A</v>
      </c>
      <c r="P98" s="10"/>
      <c r="Q98" s="218" t="s">
        <v>331</v>
      </c>
      <c r="R98" s="218"/>
      <c r="S98" s="218"/>
      <c r="T98" s="13"/>
      <c r="V98" s="218"/>
      <c r="W98" s="218"/>
      <c r="AB98" s="10"/>
      <c r="AC98" s="4" t="s">
        <v>330</v>
      </c>
    </row>
    <row r="99" spans="1:31" ht="15" customHeight="1">
      <c r="A99" s="218" t="s">
        <v>60</v>
      </c>
      <c r="B99" s="218"/>
      <c r="C99" s="218"/>
      <c r="D99" s="218"/>
      <c r="E99" s="218"/>
      <c r="F99" s="218"/>
      <c r="G99" s="218"/>
      <c r="H99" s="218"/>
      <c r="I99" s="218"/>
      <c r="J99" s="218"/>
      <c r="K99" s="218"/>
      <c r="L99" s="16"/>
      <c r="M99" s="16"/>
      <c r="N99" s="16"/>
      <c r="P99" s="10"/>
      <c r="Q99" s="218"/>
      <c r="R99" s="218"/>
      <c r="S99" s="218"/>
      <c r="T99" s="13"/>
      <c r="V99" s="218"/>
      <c r="W99" s="218"/>
      <c r="Z99" s="23"/>
      <c r="AB99" s="10"/>
    </row>
    <row r="100" spans="1:31">
      <c r="A100" s="218"/>
      <c r="B100" s="218"/>
      <c r="C100" s="218"/>
      <c r="D100" s="218"/>
      <c r="E100" s="218"/>
      <c r="F100" s="218"/>
      <c r="G100" s="218"/>
      <c r="H100" s="218"/>
      <c r="I100" s="218"/>
      <c r="J100" s="218"/>
      <c r="K100" s="218"/>
      <c r="L100" s="16"/>
      <c r="M100" s="16"/>
      <c r="N100" s="16"/>
      <c r="P100" s="10"/>
      <c r="Q100" s="218"/>
      <c r="R100" s="218"/>
      <c r="S100" s="218"/>
      <c r="T100" s="13"/>
      <c r="V100" s="218"/>
      <c r="W100" s="218"/>
      <c r="Z100" s="23"/>
      <c r="AB100" s="10"/>
    </row>
    <row r="101" spans="1:31" ht="15" customHeight="1">
      <c r="A101" s="13"/>
      <c r="B101" s="13"/>
      <c r="C101" s="13"/>
      <c r="D101" s="13"/>
      <c r="E101" s="13"/>
      <c r="F101" s="13"/>
      <c r="G101" s="13"/>
      <c r="H101" s="13"/>
      <c r="I101" s="13"/>
      <c r="J101" s="13"/>
      <c r="K101" s="13"/>
      <c r="L101" s="244" t="str">
        <f>IF(L59="Undulating peat among rock outcrops", "NOTE: If the answer to Q v) is " &amp; CHAR(34) &amp; " Undulating peat among rock outcrops " &amp; CHAR(34) &amp; " then the scores for this question will default to 1, the value for an undulating slope","")</f>
        <v/>
      </c>
      <c r="M101" s="16"/>
      <c r="N101" s="16"/>
      <c r="P101" s="10"/>
      <c r="Q101" s="218"/>
      <c r="R101" s="218"/>
      <c r="S101" s="218"/>
      <c r="T101" s="13"/>
      <c r="V101" s="218"/>
      <c r="W101" s="218"/>
      <c r="Z101" s="23"/>
      <c r="AB101" s="10"/>
    </row>
    <row r="102" spans="1:31">
      <c r="A102" s="160"/>
      <c r="B102" s="13"/>
      <c r="C102" s="13"/>
      <c r="D102" s="13"/>
      <c r="E102" s="13"/>
      <c r="F102" s="13"/>
      <c r="G102" s="13"/>
      <c r="H102" s="13"/>
      <c r="I102" s="13"/>
      <c r="J102" s="13"/>
      <c r="K102" s="13"/>
      <c r="L102" s="244"/>
      <c r="M102" s="16"/>
      <c r="N102" s="16"/>
      <c r="P102" s="10"/>
      <c r="Q102" s="218"/>
      <c r="R102" s="218"/>
      <c r="S102" s="218"/>
      <c r="T102" s="13"/>
      <c r="V102" s="218"/>
      <c r="W102" s="218"/>
      <c r="Z102" s="23"/>
      <c r="AB102" s="10"/>
      <c r="AC102" s="218" t="s">
        <v>279</v>
      </c>
      <c r="AD102" s="218"/>
      <c r="AE102" s="218"/>
    </row>
    <row r="103" spans="1:31">
      <c r="A103" s="13"/>
      <c r="B103" s="13"/>
      <c r="C103" s="13"/>
      <c r="D103" s="13"/>
      <c r="E103" s="13"/>
      <c r="F103" s="13"/>
      <c r="G103" s="13"/>
      <c r="H103" s="13"/>
      <c r="I103" s="13"/>
      <c r="J103" s="13"/>
      <c r="K103" s="13"/>
      <c r="L103" s="244"/>
      <c r="M103" s="16"/>
      <c r="N103" s="16"/>
      <c r="P103" s="10"/>
      <c r="Q103" s="218"/>
      <c r="R103" s="218"/>
      <c r="S103" s="218"/>
      <c r="T103" s="13"/>
      <c r="V103" s="218"/>
      <c r="W103" s="218"/>
      <c r="Z103" s="23"/>
      <c r="AB103" s="10"/>
      <c r="AC103" s="218"/>
      <c r="AD103" s="218"/>
      <c r="AE103" s="218"/>
    </row>
    <row r="104" spans="1:31">
      <c r="A104" s="13"/>
      <c r="B104" s="13"/>
      <c r="C104" s="13"/>
      <c r="D104" s="13"/>
      <c r="E104" s="13"/>
      <c r="F104" s="13"/>
      <c r="G104" s="13"/>
      <c r="H104" s="13"/>
      <c r="I104" s="13"/>
      <c r="J104" s="13"/>
      <c r="K104" s="13"/>
      <c r="L104" s="244"/>
      <c r="M104" s="16"/>
      <c r="N104" s="16"/>
      <c r="P104" s="10"/>
      <c r="Q104" s="218"/>
      <c r="R104" s="218"/>
      <c r="S104" s="218"/>
      <c r="T104" s="13"/>
      <c r="V104" s="218"/>
      <c r="W104" s="218"/>
      <c r="Z104" s="23"/>
      <c r="AB104" s="10"/>
      <c r="AC104" s="218"/>
      <c r="AD104" s="218"/>
      <c r="AE104" s="218"/>
    </row>
    <row r="105" spans="1:31">
      <c r="A105" s="13"/>
      <c r="B105" s="13"/>
      <c r="C105" s="13"/>
      <c r="D105" s="13"/>
      <c r="E105" s="13"/>
      <c r="F105" s="13"/>
      <c r="G105" s="13"/>
      <c r="H105" s="13"/>
      <c r="I105" s="13"/>
      <c r="J105" s="13"/>
      <c r="K105" s="13"/>
      <c r="L105" s="16"/>
      <c r="M105" s="16"/>
      <c r="N105" s="16"/>
      <c r="P105" s="10"/>
      <c r="Q105" s="218"/>
      <c r="R105" s="218"/>
      <c r="S105" s="218"/>
      <c r="T105" s="13"/>
      <c r="V105" s="218"/>
      <c r="W105" s="218"/>
      <c r="Z105" s="23"/>
      <c r="AB105" s="10"/>
      <c r="AC105" s="218"/>
      <c r="AD105" s="218"/>
      <c r="AE105" s="218"/>
    </row>
    <row r="106" spans="1:31">
      <c r="A106" s="13"/>
      <c r="B106" s="13"/>
      <c r="C106" s="13"/>
      <c r="D106" s="13"/>
      <c r="E106" s="13"/>
      <c r="F106" s="13"/>
      <c r="G106" s="13"/>
      <c r="H106" s="13"/>
      <c r="I106" s="13"/>
      <c r="J106" s="13"/>
      <c r="K106" s="13"/>
      <c r="L106" s="16"/>
      <c r="M106" s="16"/>
      <c r="N106" s="16"/>
      <c r="P106" s="10"/>
      <c r="Q106" s="218"/>
      <c r="R106" s="218"/>
      <c r="S106" s="218"/>
      <c r="T106" s="13"/>
      <c r="V106" s="218"/>
      <c r="W106" s="218"/>
      <c r="AB106" s="10"/>
      <c r="AC106" s="219" t="s">
        <v>324</v>
      </c>
      <c r="AD106" s="219"/>
      <c r="AE106" s="219"/>
    </row>
    <row r="107" spans="1:31">
      <c r="A107" s="13"/>
      <c r="B107" s="13"/>
      <c r="C107" s="13"/>
      <c r="D107" s="13"/>
      <c r="E107" s="13"/>
      <c r="F107" s="13"/>
      <c r="G107" s="13"/>
      <c r="H107" s="13"/>
      <c r="I107" s="13"/>
      <c r="J107" s="13"/>
      <c r="K107" s="13"/>
      <c r="L107" s="16"/>
      <c r="M107" s="16"/>
      <c r="N107" s="16"/>
      <c r="P107" s="10"/>
      <c r="Q107" s="218"/>
      <c r="R107" s="218"/>
      <c r="S107" s="218"/>
      <c r="T107" s="13"/>
      <c r="AB107" s="10"/>
    </row>
    <row r="108" spans="1:31">
      <c r="A108" s="13"/>
      <c r="B108" s="13"/>
      <c r="C108" s="13"/>
      <c r="D108" s="13"/>
      <c r="E108" s="13"/>
      <c r="F108" s="13"/>
      <c r="G108" s="13"/>
      <c r="H108" s="13"/>
      <c r="I108" s="13"/>
      <c r="J108" s="13"/>
      <c r="K108" s="13"/>
      <c r="L108" s="16"/>
      <c r="M108" s="16"/>
      <c r="N108" s="16"/>
      <c r="P108" s="10"/>
      <c r="Q108" s="218"/>
      <c r="R108" s="218"/>
      <c r="S108" s="218"/>
      <c r="AB108" s="10"/>
    </row>
    <row r="109" spans="1:31">
      <c r="A109" s="44"/>
      <c r="B109" s="44"/>
      <c r="C109" s="44"/>
      <c r="D109" s="44"/>
      <c r="E109" s="44"/>
      <c r="F109" s="44"/>
      <c r="G109" s="44"/>
      <c r="H109" s="44"/>
      <c r="I109" s="44"/>
      <c r="J109" s="44"/>
      <c r="K109" s="44"/>
      <c r="L109" s="45"/>
      <c r="M109" s="45"/>
      <c r="N109" s="45"/>
      <c r="O109" s="28"/>
      <c r="P109" s="40"/>
      <c r="Q109" s="30"/>
      <c r="R109" s="30"/>
      <c r="S109" s="30"/>
      <c r="T109" s="30"/>
      <c r="U109" s="30"/>
      <c r="V109" s="30"/>
      <c r="W109" s="30"/>
      <c r="X109" s="30"/>
      <c r="Y109" s="30"/>
      <c r="Z109" s="30"/>
      <c r="AA109" s="30"/>
      <c r="AB109" s="40"/>
      <c r="AC109" s="30"/>
      <c r="AD109" s="30"/>
      <c r="AE109" s="30"/>
    </row>
    <row r="110" spans="1:31">
      <c r="A110" s="13"/>
      <c r="B110" s="13"/>
      <c r="C110" s="13"/>
      <c r="D110" s="13"/>
      <c r="E110" s="13"/>
      <c r="F110" s="13"/>
      <c r="G110" s="13"/>
      <c r="H110" s="13"/>
      <c r="I110" s="13"/>
      <c r="J110" s="13"/>
      <c r="K110" s="13"/>
      <c r="L110" s="16"/>
      <c r="M110" s="16"/>
      <c r="N110" s="16"/>
      <c r="P110" s="10"/>
      <c r="AB110" s="10"/>
    </row>
    <row r="111" spans="1:31">
      <c r="A111" s="7" t="s">
        <v>13</v>
      </c>
      <c r="B111" s="4"/>
      <c r="C111" s="4"/>
      <c r="D111" s="4"/>
      <c r="E111" s="4"/>
      <c r="F111" s="4"/>
      <c r="G111" s="4"/>
      <c r="H111" s="4"/>
      <c r="I111" s="4"/>
      <c r="J111" s="4"/>
      <c r="K111" s="4"/>
      <c r="L111" s="190"/>
      <c r="M111" s="5" t="e">
        <f>VLOOKUP($L111,'Drop Down Options'!$D$79:$F$82,2,FALSE)</f>
        <v>#N/A</v>
      </c>
      <c r="N111" s="5" t="e">
        <f>VLOOKUP($L111,'Drop Down Options'!$D$79:$F$82,3,FALSE)</f>
        <v>#N/A</v>
      </c>
      <c r="P111" s="10"/>
      <c r="Q111" s="218" t="s">
        <v>187</v>
      </c>
      <c r="R111" s="218"/>
      <c r="AB111" s="10"/>
      <c r="AC111" s="4" t="s">
        <v>332</v>
      </c>
    </row>
    <row r="112" spans="1:31">
      <c r="A112" s="241" t="s">
        <v>67</v>
      </c>
      <c r="B112" s="241"/>
      <c r="C112" s="241"/>
      <c r="D112" s="241"/>
      <c r="E112" s="241"/>
      <c r="F112" s="241"/>
      <c r="G112" s="241"/>
      <c r="H112" s="241"/>
      <c r="I112" s="241"/>
      <c r="J112" s="241"/>
      <c r="K112" s="241"/>
      <c r="L112" s="5"/>
      <c r="M112" s="5"/>
      <c r="N112" s="5"/>
      <c r="P112" s="10"/>
      <c r="Q112" s="218"/>
      <c r="R112" s="218"/>
      <c r="AB112" s="10"/>
    </row>
    <row r="113" spans="1:31">
      <c r="A113" s="241"/>
      <c r="B113" s="241"/>
      <c r="C113" s="241"/>
      <c r="D113" s="241"/>
      <c r="E113" s="241"/>
      <c r="F113" s="241"/>
      <c r="G113" s="241"/>
      <c r="H113" s="241"/>
      <c r="I113" s="241"/>
      <c r="J113" s="241"/>
      <c r="K113" s="241"/>
      <c r="L113" s="5"/>
      <c r="M113" s="5"/>
      <c r="N113" s="5"/>
      <c r="P113" s="10"/>
      <c r="Q113" s="218"/>
      <c r="R113" s="218"/>
      <c r="AB113" s="10"/>
    </row>
    <row r="114" spans="1:31">
      <c r="A114" s="241"/>
      <c r="B114" s="241"/>
      <c r="C114" s="241"/>
      <c r="D114" s="241"/>
      <c r="E114" s="241"/>
      <c r="F114" s="241"/>
      <c r="G114" s="241"/>
      <c r="H114" s="241"/>
      <c r="I114" s="241"/>
      <c r="J114" s="241"/>
      <c r="K114" s="241"/>
      <c r="L114" s="5"/>
      <c r="M114" s="5"/>
      <c r="N114" s="5"/>
      <c r="P114" s="10"/>
      <c r="Q114" s="218"/>
      <c r="R114" s="218"/>
      <c r="AB114" s="10"/>
    </row>
    <row r="115" spans="1:31">
      <c r="A115" s="13"/>
      <c r="B115" s="13"/>
      <c r="C115" s="13"/>
      <c r="D115" s="13"/>
      <c r="E115" s="13"/>
      <c r="F115" s="13"/>
      <c r="G115" s="13"/>
      <c r="H115" s="13"/>
      <c r="I115" s="13"/>
      <c r="J115" s="13"/>
      <c r="K115" s="13"/>
      <c r="L115" s="5"/>
      <c r="M115" s="5"/>
      <c r="N115" s="5"/>
      <c r="P115" s="10"/>
      <c r="Q115" s="218"/>
      <c r="R115" s="218"/>
      <c r="AB115" s="10"/>
    </row>
    <row r="116" spans="1:31">
      <c r="A116" s="96"/>
      <c r="B116" s="13"/>
      <c r="C116" s="13"/>
      <c r="D116" s="13"/>
      <c r="E116" s="13"/>
      <c r="F116" s="13"/>
      <c r="G116" s="13"/>
      <c r="H116" s="13"/>
      <c r="I116" s="13"/>
      <c r="J116" s="13"/>
      <c r="K116" s="13"/>
      <c r="L116" s="5"/>
      <c r="M116" s="5"/>
      <c r="N116" s="5"/>
      <c r="P116" s="10"/>
      <c r="Q116" s="218"/>
      <c r="R116" s="218"/>
      <c r="AB116" s="10"/>
    </row>
    <row r="117" spans="1:31">
      <c r="A117" s="13"/>
      <c r="B117" s="13"/>
      <c r="C117" s="13"/>
      <c r="D117" s="13"/>
      <c r="E117" s="13"/>
      <c r="F117" s="13"/>
      <c r="G117" s="13"/>
      <c r="H117" s="13"/>
      <c r="I117" s="13"/>
      <c r="J117" s="13"/>
      <c r="K117" s="13"/>
      <c r="L117" s="5"/>
      <c r="M117" s="5"/>
      <c r="N117" s="5"/>
      <c r="P117" s="10"/>
      <c r="Q117" s="218"/>
      <c r="R117" s="218"/>
      <c r="AB117" s="10"/>
    </row>
    <row r="118" spans="1:31">
      <c r="A118" s="13"/>
      <c r="B118" s="13"/>
      <c r="C118" s="13"/>
      <c r="D118" s="13"/>
      <c r="E118" s="13"/>
      <c r="F118" s="13"/>
      <c r="G118" s="13"/>
      <c r="H118" s="13"/>
      <c r="I118" s="13"/>
      <c r="J118" s="13"/>
      <c r="K118" s="13"/>
      <c r="L118" s="5"/>
      <c r="M118" s="5"/>
      <c r="N118" s="5"/>
      <c r="P118" s="10"/>
      <c r="Q118" s="218"/>
      <c r="R118" s="218"/>
      <c r="AB118" s="10"/>
    </row>
    <row r="119" spans="1:31">
      <c r="A119" s="13"/>
      <c r="B119" s="13"/>
      <c r="C119" s="13"/>
      <c r="D119" s="13"/>
      <c r="E119" s="13"/>
      <c r="F119" s="13"/>
      <c r="G119" s="13"/>
      <c r="H119" s="13"/>
      <c r="I119" s="13"/>
      <c r="J119" s="13"/>
      <c r="K119" s="13"/>
      <c r="L119" s="5"/>
      <c r="M119" s="5"/>
      <c r="N119" s="5"/>
      <c r="P119" s="10"/>
      <c r="Q119" s="218"/>
      <c r="R119" s="218"/>
      <c r="AB119" s="10"/>
    </row>
    <row r="120" spans="1:31">
      <c r="A120" s="13"/>
      <c r="B120" s="13"/>
      <c r="C120" s="13"/>
      <c r="D120" s="13"/>
      <c r="E120" s="13"/>
      <c r="F120" s="13"/>
      <c r="G120" s="13"/>
      <c r="H120" s="13"/>
      <c r="I120" s="13"/>
      <c r="J120" s="13"/>
      <c r="K120" s="13"/>
      <c r="L120" s="5"/>
      <c r="M120" s="5"/>
      <c r="N120" s="5"/>
      <c r="P120" s="10"/>
      <c r="Q120" s="218"/>
      <c r="R120" s="218"/>
      <c r="AB120" s="10"/>
    </row>
    <row r="121" spans="1:31">
      <c r="A121" s="13"/>
      <c r="B121" s="13"/>
      <c r="C121" s="13"/>
      <c r="D121" s="13"/>
      <c r="E121" s="13"/>
      <c r="F121" s="13"/>
      <c r="G121" s="13"/>
      <c r="H121" s="13"/>
      <c r="I121" s="13"/>
      <c r="J121" s="13"/>
      <c r="K121" s="13"/>
      <c r="L121" s="5"/>
      <c r="M121" s="5"/>
      <c r="N121" s="5"/>
      <c r="P121" s="10"/>
      <c r="Q121" s="218"/>
      <c r="R121" s="218"/>
      <c r="AB121" s="10"/>
    </row>
    <row r="122" spans="1:31">
      <c r="A122" s="44"/>
      <c r="B122" s="44"/>
      <c r="C122" s="44"/>
      <c r="D122" s="44"/>
      <c r="E122" s="44"/>
      <c r="F122" s="44"/>
      <c r="G122" s="44"/>
      <c r="H122" s="44"/>
      <c r="I122" s="44"/>
      <c r="J122" s="44"/>
      <c r="K122" s="44"/>
      <c r="L122" s="28"/>
      <c r="M122" s="28"/>
      <c r="N122" s="28"/>
      <c r="O122" s="28"/>
      <c r="P122" s="40"/>
      <c r="Q122" s="30"/>
      <c r="R122" s="30"/>
      <c r="S122" s="30"/>
      <c r="T122" s="30"/>
      <c r="U122" s="30"/>
      <c r="V122" s="30"/>
      <c r="W122" s="30"/>
      <c r="X122" s="30"/>
      <c r="Y122" s="30"/>
      <c r="Z122" s="30"/>
      <c r="AA122" s="30"/>
      <c r="AB122" s="40"/>
      <c r="AC122" s="30"/>
      <c r="AD122" s="30"/>
      <c r="AE122" s="30"/>
    </row>
    <row r="123" spans="1:31">
      <c r="A123" s="13"/>
      <c r="B123" s="13"/>
      <c r="C123" s="13"/>
      <c r="D123" s="13"/>
      <c r="E123" s="13"/>
      <c r="F123" s="13"/>
      <c r="G123" s="13"/>
      <c r="H123" s="13"/>
      <c r="I123" s="13"/>
      <c r="J123" s="13"/>
      <c r="K123" s="13"/>
      <c r="L123" s="5"/>
      <c r="M123" s="5"/>
      <c r="N123" s="5"/>
      <c r="P123" s="10"/>
      <c r="AB123" s="10"/>
    </row>
    <row r="124" spans="1:31" ht="15" customHeight="1">
      <c r="A124" s="7" t="s">
        <v>76</v>
      </c>
      <c r="B124" s="13"/>
      <c r="C124" s="13"/>
      <c r="D124" s="13"/>
      <c r="E124" s="13"/>
      <c r="F124" s="13"/>
      <c r="G124" s="13"/>
      <c r="H124" s="13"/>
      <c r="I124" s="13"/>
      <c r="J124" s="13"/>
      <c r="K124" s="13"/>
      <c r="L124" s="189"/>
      <c r="M124" s="242" t="s">
        <v>155</v>
      </c>
      <c r="N124" s="243"/>
      <c r="P124" s="10"/>
      <c r="Q124" s="218" t="s">
        <v>288</v>
      </c>
      <c r="R124" s="218"/>
      <c r="AB124" s="10"/>
      <c r="AC124" s="4" t="s">
        <v>333</v>
      </c>
    </row>
    <row r="125" spans="1:31" ht="15" customHeight="1">
      <c r="A125" s="218" t="s">
        <v>78</v>
      </c>
      <c r="B125" s="218"/>
      <c r="C125" s="218"/>
      <c r="D125" s="218"/>
      <c r="E125" s="218"/>
      <c r="F125" s="218"/>
      <c r="G125" s="218"/>
      <c r="H125" s="218"/>
      <c r="I125" s="218"/>
      <c r="J125" s="218"/>
      <c r="K125" s="218"/>
      <c r="L125" s="5"/>
      <c r="M125" s="5"/>
      <c r="N125" s="5"/>
      <c r="P125" s="10"/>
      <c r="Q125" s="218"/>
      <c r="R125" s="218"/>
      <c r="AB125" s="10"/>
    </row>
    <row r="126" spans="1:31">
      <c r="A126" s="218"/>
      <c r="B126" s="218"/>
      <c r="C126" s="218"/>
      <c r="D126" s="218"/>
      <c r="E126" s="218"/>
      <c r="F126" s="218"/>
      <c r="G126" s="218"/>
      <c r="H126" s="218"/>
      <c r="I126" s="218"/>
      <c r="J126" s="218"/>
      <c r="K126" s="218"/>
      <c r="M126" s="5"/>
      <c r="N126" s="5"/>
      <c r="P126" s="10"/>
      <c r="Q126" s="218"/>
      <c r="R126" s="218"/>
      <c r="AB126" s="10"/>
    </row>
    <row r="127" spans="1:31">
      <c r="A127" s="218"/>
      <c r="B127" s="218"/>
      <c r="C127" s="218"/>
      <c r="D127" s="218"/>
      <c r="E127" s="218"/>
      <c r="F127" s="218"/>
      <c r="G127" s="218"/>
      <c r="H127" s="218"/>
      <c r="I127" s="218"/>
      <c r="J127" s="218"/>
      <c r="K127" s="218"/>
      <c r="L127" s="21"/>
      <c r="M127" s="5"/>
      <c r="N127" s="5"/>
      <c r="P127" s="10"/>
      <c r="Q127" s="218"/>
      <c r="R127" s="218"/>
      <c r="AB127" s="10"/>
    </row>
    <row r="128" spans="1:31">
      <c r="A128" s="218"/>
      <c r="B128" s="218"/>
      <c r="C128" s="218"/>
      <c r="D128" s="218"/>
      <c r="E128" s="218"/>
      <c r="F128" s="218"/>
      <c r="G128" s="218"/>
      <c r="H128" s="218"/>
      <c r="I128" s="218"/>
      <c r="J128" s="218"/>
      <c r="K128" s="218"/>
      <c r="L128" s="21"/>
      <c r="M128" s="5"/>
      <c r="N128" s="5"/>
      <c r="P128" s="10"/>
      <c r="Q128" s="218"/>
      <c r="R128" s="218"/>
      <c r="AB128" s="10"/>
    </row>
    <row r="129" spans="1:65">
      <c r="A129" s="9"/>
      <c r="B129" s="9"/>
      <c r="C129" s="9"/>
      <c r="D129" s="9"/>
      <c r="E129" s="9"/>
      <c r="F129" s="9"/>
      <c r="G129" s="9"/>
      <c r="H129" s="9"/>
      <c r="I129" s="9"/>
      <c r="J129" s="9"/>
      <c r="K129" s="9"/>
      <c r="L129" s="21"/>
      <c r="M129" s="5"/>
      <c r="N129" s="5"/>
      <c r="P129" s="10"/>
      <c r="Q129" s="218"/>
      <c r="R129" s="218"/>
      <c r="AB129" s="10"/>
    </row>
    <row r="130" spans="1:65">
      <c r="A130" s="9"/>
      <c r="B130" s="9"/>
      <c r="C130" s="9"/>
      <c r="D130" s="9"/>
      <c r="E130" s="9"/>
      <c r="F130" s="9"/>
      <c r="G130" s="9"/>
      <c r="H130" s="9"/>
      <c r="I130" s="9"/>
      <c r="J130" s="9"/>
      <c r="K130" s="9"/>
      <c r="L130" s="21"/>
      <c r="M130" s="5"/>
      <c r="N130" s="5"/>
      <c r="P130" s="10"/>
      <c r="Q130" s="218"/>
      <c r="R130" s="218"/>
      <c r="AB130" s="10"/>
    </row>
    <row r="131" spans="1:65">
      <c r="A131" s="9"/>
      <c r="B131" s="9"/>
      <c r="C131" s="9"/>
      <c r="D131" s="9"/>
      <c r="E131" s="9"/>
      <c r="F131" s="9"/>
      <c r="G131" s="9"/>
      <c r="H131" s="9"/>
      <c r="I131" s="9"/>
      <c r="J131" s="9"/>
      <c r="K131" s="9"/>
      <c r="L131" s="21"/>
      <c r="M131" s="5"/>
      <c r="N131" s="5"/>
      <c r="P131" s="10"/>
      <c r="Q131" s="218"/>
      <c r="R131" s="218"/>
      <c r="AB131" s="10"/>
    </row>
    <row r="132" spans="1:65">
      <c r="A132" s="9"/>
      <c r="B132" s="9"/>
      <c r="C132" s="9"/>
      <c r="D132" s="9"/>
      <c r="E132" s="9"/>
      <c r="F132" s="9"/>
      <c r="G132" s="9"/>
      <c r="H132" s="9"/>
      <c r="I132" s="9"/>
      <c r="J132" s="9"/>
      <c r="K132" s="9"/>
      <c r="L132" s="21"/>
      <c r="M132" s="5"/>
      <c r="N132" s="5"/>
      <c r="P132" s="10"/>
      <c r="Q132" s="218"/>
      <c r="R132" s="218"/>
      <c r="AB132" s="10"/>
    </row>
    <row r="133" spans="1:65">
      <c r="A133" s="9"/>
      <c r="B133" s="9"/>
      <c r="C133" s="9"/>
      <c r="D133" s="9"/>
      <c r="E133" s="9"/>
      <c r="F133" s="9"/>
      <c r="G133" s="9"/>
      <c r="H133" s="9"/>
      <c r="I133" s="9"/>
      <c r="J133" s="9"/>
      <c r="K133" s="9"/>
      <c r="L133" s="21"/>
      <c r="M133" s="5"/>
      <c r="N133" s="5"/>
      <c r="P133" s="10"/>
      <c r="Q133" s="218"/>
      <c r="R133" s="218"/>
      <c r="AB133" s="10"/>
    </row>
    <row r="134" spans="1:65">
      <c r="A134" s="41"/>
      <c r="B134" s="41"/>
      <c r="C134" s="41"/>
      <c r="D134" s="41"/>
      <c r="E134" s="41"/>
      <c r="F134" s="41"/>
      <c r="G134" s="41"/>
      <c r="H134" s="41"/>
      <c r="I134" s="41"/>
      <c r="J134" s="41"/>
      <c r="K134" s="41"/>
      <c r="L134" s="49"/>
      <c r="M134" s="28"/>
      <c r="N134" s="28"/>
      <c r="O134" s="28"/>
      <c r="P134" s="40"/>
      <c r="Q134" s="30"/>
      <c r="R134" s="30"/>
      <c r="S134" s="30"/>
      <c r="T134" s="30"/>
      <c r="U134" s="30"/>
      <c r="V134" s="30"/>
      <c r="W134" s="30"/>
      <c r="X134" s="30"/>
      <c r="Y134" s="30"/>
      <c r="Z134" s="30"/>
      <c r="AA134" s="30"/>
      <c r="AB134" s="40"/>
      <c r="AC134" s="30"/>
      <c r="AD134" s="30"/>
      <c r="AE134" s="30"/>
    </row>
    <row r="135" spans="1:65">
      <c r="A135" s="9"/>
      <c r="B135" s="9"/>
      <c r="C135" s="9"/>
      <c r="D135" s="9"/>
      <c r="E135" s="9"/>
      <c r="F135" s="9"/>
      <c r="G135" s="9"/>
      <c r="H135" s="9"/>
      <c r="I135" s="9"/>
      <c r="J135" s="9"/>
      <c r="K135" s="9"/>
      <c r="L135" s="140"/>
      <c r="M135" s="22"/>
      <c r="N135" s="22"/>
      <c r="O135" s="22"/>
    </row>
    <row r="136" spans="1:65" s="54" customFormat="1" ht="15.75">
      <c r="A136" s="50" t="s">
        <v>74</v>
      </c>
      <c r="B136" s="51"/>
      <c r="C136" s="51"/>
      <c r="D136" s="51"/>
      <c r="E136" s="51"/>
      <c r="F136" s="51"/>
      <c r="G136" s="51"/>
      <c r="H136" s="51"/>
      <c r="I136" s="51"/>
      <c r="J136" s="51"/>
      <c r="K136" s="51"/>
      <c r="L136" s="146"/>
      <c r="M136" s="94"/>
      <c r="N136" s="94"/>
      <c r="O136" s="57"/>
      <c r="P136" s="161"/>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row>
    <row r="137" spans="1:65" s="54" customFormat="1" ht="15.75">
      <c r="A137" s="55" t="s">
        <v>2</v>
      </c>
      <c r="B137" s="53"/>
      <c r="C137" s="53"/>
      <c r="D137" s="53"/>
      <c r="E137" s="53"/>
      <c r="F137" s="53"/>
      <c r="G137" s="53"/>
      <c r="H137" s="168" t="e">
        <f>IF(L137&lt;'Drop Down Options'!C86,'Drop Down Options'!D86,IF(L137&lt;='Drop Down Options'!C87,'Drop Down Options'!D87,IF(L137&lt;='Drop Down Options'!C88,'Drop Down Options'!D88,IF(L137&lt;='Drop Down Options'!C89,'Drop Down Options'!D89,'Drop Down Options'!D90))))</f>
        <v>#N/A</v>
      </c>
      <c r="I137" s="53"/>
      <c r="J137" s="53"/>
      <c r="K137" s="53"/>
      <c r="L137" s="205" t="e">
        <f>MAX(M137:N137)</f>
        <v>#N/A</v>
      </c>
      <c r="M137" s="57" t="e">
        <f>M20+(MAX(IFERROR(M35,0),IFERROR(M36,0),IFERROR(M37,0))+M47+M72+M85+M98+M111+MAX(M6,M59))</f>
        <v>#N/A</v>
      </c>
      <c r="N137" s="57" t="e">
        <f>N20+(MAX(IFERROR(N35,0),IFERROR(N36,0),IFERROR(N37,0))+N47+N72+N85+N98+N111+MAX(N6,N59))</f>
        <v>#N/A</v>
      </c>
      <c r="O137" s="57"/>
      <c r="P137" s="161"/>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row>
    <row r="138" spans="1:65" s="54" customFormat="1" ht="15.75">
      <c r="A138" s="55" t="s">
        <v>73</v>
      </c>
      <c r="B138" s="53"/>
      <c r="C138" s="53"/>
      <c r="D138" s="53"/>
      <c r="E138" s="53"/>
      <c r="F138" s="53"/>
      <c r="G138" s="53"/>
      <c r="H138" s="169" t="e">
        <f>VLOOKUP(H137,'Drop Down Options'!$D$86:$G$90,4,FALSE)</f>
        <v>#N/A</v>
      </c>
      <c r="I138" s="53"/>
      <c r="J138" s="53"/>
      <c r="K138" s="53"/>
      <c r="L138" s="141"/>
      <c r="M138" s="56"/>
      <c r="N138" s="57"/>
      <c r="O138" s="57"/>
      <c r="P138" s="161"/>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row>
    <row r="139" spans="1:65" s="54" customFormat="1" ht="15.75">
      <c r="A139" s="55" t="s">
        <v>4</v>
      </c>
      <c r="B139" s="53"/>
      <c r="C139" s="53"/>
      <c r="D139" s="53"/>
      <c r="E139" s="53"/>
      <c r="F139" s="53"/>
      <c r="G139" s="53"/>
      <c r="H139" s="170" t="e">
        <f>IF(M137&gt;=N137,VLOOKUP(H137,'Drop Down Options'!$D$86:$G$90,2,FALSE),VLOOKUP(H137,'Drop Down Options'!$D$86:$G$90,3,FALSE))</f>
        <v>#N/A</v>
      </c>
      <c r="I139" s="53"/>
      <c r="J139" s="53"/>
      <c r="K139" s="53"/>
      <c r="L139" s="57"/>
      <c r="M139" s="57"/>
      <c r="N139" s="57"/>
      <c r="O139" s="57"/>
      <c r="P139" s="161"/>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row>
    <row r="140" spans="1:65" s="54" customFormat="1" ht="15.75">
      <c r="A140" s="53"/>
      <c r="B140" s="53"/>
      <c r="C140" s="53"/>
      <c r="D140" s="53"/>
      <c r="E140" s="53"/>
      <c r="F140" s="53"/>
      <c r="G140" s="53"/>
      <c r="H140" s="53"/>
      <c r="I140" s="53"/>
      <c r="J140" s="53"/>
      <c r="K140" s="53"/>
      <c r="L140" s="57"/>
      <c r="M140" s="57"/>
      <c r="N140" s="57"/>
      <c r="O140" s="57"/>
      <c r="P140" s="161"/>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row>
    <row r="141" spans="1:65" s="54" customFormat="1" ht="15.75">
      <c r="A141" s="12" t="s">
        <v>93</v>
      </c>
      <c r="B141" s="53"/>
      <c r="C141" s="53"/>
      <c r="D141" s="53"/>
      <c r="E141" s="53"/>
      <c r="F141" s="53"/>
      <c r="G141" s="53"/>
      <c r="H141" s="53"/>
      <c r="I141" s="53"/>
      <c r="J141" s="53"/>
      <c r="K141" s="53"/>
      <c r="L141" s="57"/>
      <c r="M141" s="52"/>
      <c r="N141" s="52"/>
      <c r="O141" s="52"/>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row>
    <row r="142" spans="1:65" s="53" customFormat="1" ht="15.75">
      <c r="A142" s="55" t="s">
        <v>77</v>
      </c>
      <c r="L142" s="171" t="str">
        <f>IF(OR(L85='Drop Down Options'!D66,L85='Drop Down Options'!D67)=TRUE,IF(ISERROR(L172),"Too few parameters to calculate",L172),IF(OR(L85='Drop Down Options'!D68,L85='Drop Down Options'!D69,L85='Drop Down Options'!D70)=TRUE,IF(ISERROR(L159),"Too few parameters to calculate",L159),"Too few parameters to calculate"))</f>
        <v>Too few parameters to calculate</v>
      </c>
      <c r="M142" s="56"/>
      <c r="N142" s="52"/>
      <c r="O142" s="52"/>
    </row>
    <row r="143" spans="1:65" s="53" customFormat="1" ht="15.75">
      <c r="A143" s="94"/>
      <c r="M143" s="52"/>
      <c r="N143" s="52"/>
      <c r="O143" s="52"/>
    </row>
    <row r="144" spans="1:65" s="4" customFormat="1" hidden="1">
      <c r="A144" s="6"/>
      <c r="L144" s="5"/>
      <c r="M144" s="5"/>
      <c r="N144" s="5"/>
      <c r="O144" s="5"/>
    </row>
    <row r="145" spans="4:15" s="4" customFormat="1" ht="15" hidden="1" customHeight="1">
      <c r="D145" s="23" t="s">
        <v>238</v>
      </c>
      <c r="F145" s="236" t="s">
        <v>206</v>
      </c>
      <c r="G145" s="237"/>
      <c r="H145" s="237"/>
      <c r="I145" s="238"/>
      <c r="J145" s="59" t="s">
        <v>207</v>
      </c>
      <c r="K145" s="59" t="s">
        <v>208</v>
      </c>
      <c r="L145" s="59" t="s">
        <v>209</v>
      </c>
      <c r="M145" s="5"/>
      <c r="N145" s="5"/>
      <c r="O145" s="5"/>
    </row>
    <row r="146" spans="4:15" s="4" customFormat="1" ht="15" hidden="1" customHeight="1">
      <c r="D146" s="23" t="s">
        <v>238</v>
      </c>
      <c r="F146" s="233" t="s">
        <v>211</v>
      </c>
      <c r="G146" s="234"/>
      <c r="H146" s="234"/>
      <c r="I146" s="235"/>
      <c r="J146" s="65" t="s">
        <v>199</v>
      </c>
      <c r="K146" s="65" t="s">
        <v>200</v>
      </c>
      <c r="L146" s="65" t="str">
        <f>IF($L$124='Drop Down Options'!D98,'Drop Down Options'!E101,IF($L$124='Drop Down Options'!F98,'Drop Down Options'!G101,IF($L$124='Drop Down Options'!H98,'Drop Down Options'!I101,"")))</f>
        <v/>
      </c>
      <c r="M146" s="5"/>
    </row>
    <row r="147" spans="4:15" s="4" customFormat="1" ht="15" hidden="1" customHeight="1">
      <c r="D147" s="23" t="s">
        <v>238</v>
      </c>
      <c r="F147" s="233" t="s">
        <v>212</v>
      </c>
      <c r="G147" s="234"/>
      <c r="H147" s="234"/>
      <c r="I147" s="235"/>
      <c r="J147" s="66" t="s">
        <v>201</v>
      </c>
      <c r="K147" s="65" t="s">
        <v>202</v>
      </c>
      <c r="L147" s="65">
        <f>IF($L$124='Drop Down Options'!D98,'Drop Down Options'!E102,IF($L$124='Drop Down Options'!F98,'Drop Down Options'!H102,'Drop Down Options'!I102))</f>
        <v>35</v>
      </c>
      <c r="M147" s="5"/>
    </row>
    <row r="148" spans="4:15" s="4" customFormat="1" ht="15" hidden="1" customHeight="1">
      <c r="D148" s="23" t="s">
        <v>238</v>
      </c>
      <c r="F148" s="233" t="s">
        <v>213</v>
      </c>
      <c r="G148" s="234"/>
      <c r="H148" s="234"/>
      <c r="I148" s="235"/>
      <c r="J148" s="66" t="s">
        <v>203</v>
      </c>
      <c r="K148" s="65" t="s">
        <v>204</v>
      </c>
      <c r="L148" s="65">
        <f>IF($L$124='Drop Down Options'!D98,'Drop Down Options'!E103,IF($L$124='Drop Down Options'!F98,'Drop Down Options'!G103,'Drop Down Options'!I103))</f>
        <v>10.5</v>
      </c>
      <c r="M148" s="5"/>
    </row>
    <row r="149" spans="4:15" s="4" customFormat="1" ht="15" hidden="1" customHeight="1">
      <c r="D149" s="23" t="s">
        <v>238</v>
      </c>
      <c r="F149" s="233" t="s">
        <v>214</v>
      </c>
      <c r="G149" s="234"/>
      <c r="H149" s="234"/>
      <c r="I149" s="235"/>
      <c r="J149" s="66" t="s">
        <v>215</v>
      </c>
      <c r="K149" s="65" t="s">
        <v>204</v>
      </c>
      <c r="L149" s="65">
        <f>L148-L150</f>
        <v>0.6899999999999995</v>
      </c>
      <c r="M149" s="5"/>
    </row>
    <row r="150" spans="4:15" s="4" customFormat="1" ht="15" hidden="1" customHeight="1">
      <c r="D150" s="23" t="s">
        <v>238</v>
      </c>
      <c r="F150" s="233" t="s">
        <v>216</v>
      </c>
      <c r="G150" s="234"/>
      <c r="H150" s="234"/>
      <c r="I150" s="235"/>
      <c r="J150" s="66" t="s">
        <v>217</v>
      </c>
      <c r="K150" s="65" t="s">
        <v>204</v>
      </c>
      <c r="L150" s="65">
        <v>9.81</v>
      </c>
      <c r="M150" s="5"/>
      <c r="N150" s="5"/>
      <c r="O150" s="5"/>
    </row>
    <row r="151" spans="4:15" s="4" customFormat="1" ht="15" hidden="1" customHeight="1">
      <c r="D151" s="23" t="s">
        <v>238</v>
      </c>
      <c r="F151" s="233" t="s">
        <v>218</v>
      </c>
      <c r="G151" s="234"/>
      <c r="H151" s="234"/>
      <c r="I151" s="235"/>
      <c r="J151" s="65" t="s">
        <v>219</v>
      </c>
      <c r="K151" s="65" t="s">
        <v>220</v>
      </c>
      <c r="L151" s="65">
        <v>1</v>
      </c>
      <c r="M151" s="5"/>
      <c r="N151" s="5"/>
      <c r="O151" s="5"/>
    </row>
    <row r="152" spans="4:15" s="4" customFormat="1" ht="15" hidden="1" customHeight="1">
      <c r="D152" s="23" t="s">
        <v>238</v>
      </c>
      <c r="F152" s="233" t="s">
        <v>221</v>
      </c>
      <c r="G152" s="234"/>
      <c r="H152" s="234"/>
      <c r="I152" s="235"/>
      <c r="J152" s="65" t="s">
        <v>222</v>
      </c>
      <c r="K152" s="65" t="s">
        <v>220</v>
      </c>
      <c r="L152" s="65">
        <v>500</v>
      </c>
      <c r="M152" s="5"/>
      <c r="N152" s="5"/>
      <c r="O152" s="5"/>
    </row>
    <row r="153" spans="4:15" s="4" customFormat="1" ht="15" hidden="1" customHeight="1">
      <c r="D153" s="23" t="s">
        <v>238</v>
      </c>
      <c r="F153" s="233" t="s">
        <v>223</v>
      </c>
      <c r="G153" s="234"/>
      <c r="H153" s="234"/>
      <c r="I153" s="235"/>
      <c r="J153" s="65" t="s">
        <v>224</v>
      </c>
      <c r="K153" s="65" t="s">
        <v>220</v>
      </c>
      <c r="L153" s="65">
        <v>100</v>
      </c>
      <c r="M153" s="5"/>
      <c r="N153" s="5"/>
      <c r="O153" s="5"/>
    </row>
    <row r="154" spans="4:15" s="4" customFormat="1" hidden="1">
      <c r="D154" s="23" t="s">
        <v>238</v>
      </c>
      <c r="F154" s="220" t="s">
        <v>225</v>
      </c>
      <c r="G154" s="220"/>
      <c r="H154" s="220"/>
      <c r="I154" s="220"/>
      <c r="J154" s="58" t="s">
        <v>226</v>
      </c>
      <c r="K154" s="58" t="s">
        <v>220</v>
      </c>
      <c r="L154" s="58" t="e">
        <f>VLOOKUP(L20,'Drop Down Options'!D21:G40,4,TRUE)</f>
        <v>#N/A</v>
      </c>
      <c r="M154" s="5"/>
      <c r="N154" s="5"/>
      <c r="O154" s="5"/>
    </row>
    <row r="155" spans="4:15" s="4" customFormat="1" hidden="1">
      <c r="D155" s="23" t="s">
        <v>238</v>
      </c>
      <c r="F155" s="230" t="s">
        <v>231</v>
      </c>
      <c r="G155" s="231"/>
      <c r="H155" s="231"/>
      <c r="I155" s="232"/>
      <c r="J155" s="68" t="s">
        <v>230</v>
      </c>
      <c r="K155" s="58" t="s">
        <v>202</v>
      </c>
      <c r="L155" s="58" t="e">
        <f>VLOOKUP(L35,'Drop Down Options'!$D$12:$J$18,7,FALSE)</f>
        <v>#N/A</v>
      </c>
      <c r="M155" s="5"/>
      <c r="N155" s="5"/>
      <c r="O155" s="5"/>
    </row>
    <row r="156" spans="4:15" s="4" customFormat="1" hidden="1">
      <c r="D156" s="23" t="s">
        <v>238</v>
      </c>
      <c r="F156" s="220" t="s">
        <v>232</v>
      </c>
      <c r="G156" s="220"/>
      <c r="H156" s="220"/>
      <c r="I156" s="220"/>
      <c r="J156" s="58" t="s">
        <v>234</v>
      </c>
      <c r="K156" s="58" t="s">
        <v>202</v>
      </c>
      <c r="L156" s="58" t="e">
        <f>VLOOKUP(L36,'Drop Down Options'!$G$12:$J$18,4,FALSE)</f>
        <v>#N/A</v>
      </c>
      <c r="M156" s="5"/>
      <c r="N156" s="5"/>
      <c r="O156" s="5"/>
    </row>
    <row r="157" spans="4:15" s="4" customFormat="1" hidden="1">
      <c r="D157" s="23" t="s">
        <v>238</v>
      </c>
      <c r="F157" s="220" t="s">
        <v>233</v>
      </c>
      <c r="G157" s="220"/>
      <c r="H157" s="220"/>
      <c r="I157" s="220"/>
      <c r="J157" s="58" t="s">
        <v>235</v>
      </c>
      <c r="K157" s="58" t="s">
        <v>202</v>
      </c>
      <c r="L157" s="58" t="e">
        <f>IF(100*$L$37/$L$38&lt;='Drop Down Options'!$F$12,'Drop Down Options'!J12,IF(100*$L$37/$L$38&lt;='Drop Down Options'!$F$13,'Drop Down Options'!J13,IF(100*$L$37/$L$38&lt;='Drop Down Options'!$F$14,'Drop Down Options'!J14,IF(100*$L$37/$L$38&lt;='Drop Down Options'!$F$15,'Drop Down Options'!J15,IF(100*$L$37/$L$38&lt;='Drop Down Options'!$F$16,'Drop Down Options'!J16,IF(100*$L$37/$L$38&lt;='Drop Down Options'!$F$17,'Drop Down Options'!J17,'Drop Down Options'!J18))))))</f>
        <v>#DIV/0!</v>
      </c>
      <c r="M157" s="5"/>
      <c r="N157" s="5"/>
      <c r="O157" s="5"/>
    </row>
    <row r="158" spans="4:15" s="4" customFormat="1" hidden="1">
      <c r="D158" s="23" t="s">
        <v>238</v>
      </c>
      <c r="F158" s="69" t="s">
        <v>236</v>
      </c>
      <c r="G158" s="70"/>
      <c r="H158" s="70"/>
      <c r="I158" s="71"/>
      <c r="J158" s="68" t="s">
        <v>237</v>
      </c>
      <c r="K158" s="58" t="s">
        <v>202</v>
      </c>
      <c r="L158" s="58">
        <f>MAX(IFERROR(L155,0),IFERROR(L156,0),IFERROR(L157,0))</f>
        <v>0</v>
      </c>
      <c r="M158" s="5"/>
      <c r="N158" s="5"/>
      <c r="O158" s="5"/>
    </row>
    <row r="159" spans="4:15" s="4" customFormat="1" hidden="1">
      <c r="D159" s="23" t="s">
        <v>238</v>
      </c>
      <c r="F159" s="220" t="s">
        <v>239</v>
      </c>
      <c r="G159" s="220"/>
      <c r="H159" s="220"/>
      <c r="I159" s="220"/>
      <c r="J159" s="58" t="s">
        <v>240</v>
      </c>
      <c r="K159" s="58" t="s">
        <v>210</v>
      </c>
      <c r="L159" s="72" t="e">
        <f>((L146+(L148-L151*L150)*L154*COS(RADIANS(L158))*COS(RADIANS(L158))*TAN(RADIANS(L147)))*L152*L153)/(L148*L154*SIN(RADIANS(L158))*COS(RADIANS(L158))*L152*L153)</f>
        <v>#VALUE!</v>
      </c>
      <c r="M159" s="5"/>
      <c r="N159" s="5"/>
      <c r="O159" s="5"/>
    </row>
    <row r="160" spans="4:15" s="4" customFormat="1" hidden="1">
      <c r="D160" s="23" t="s">
        <v>238</v>
      </c>
      <c r="L160" s="5"/>
      <c r="M160" s="5"/>
      <c r="N160" s="5"/>
      <c r="O160" s="5"/>
    </row>
    <row r="161" spans="4:15" s="4" customFormat="1" hidden="1">
      <c r="D161" s="23" t="s">
        <v>238</v>
      </c>
      <c r="L161" s="5"/>
      <c r="M161" s="5"/>
      <c r="N161" s="5"/>
      <c r="O161" s="5"/>
    </row>
    <row r="162" spans="4:15" s="4" customFormat="1" hidden="1">
      <c r="D162" s="23" t="s">
        <v>238</v>
      </c>
      <c r="F162" s="221" t="s">
        <v>243</v>
      </c>
      <c r="G162" s="222"/>
      <c r="H162" s="222"/>
      <c r="I162" s="223"/>
      <c r="J162" s="61" t="s">
        <v>244</v>
      </c>
      <c r="K162" s="61" t="s">
        <v>220</v>
      </c>
      <c r="L162" s="61">
        <v>0.5</v>
      </c>
      <c r="M162" s="5"/>
      <c r="N162" s="5"/>
      <c r="O162" s="5"/>
    </row>
    <row r="163" spans="4:15" s="4" customFormat="1" hidden="1">
      <c r="D163" s="23" t="s">
        <v>238</v>
      </c>
      <c r="F163" s="221" t="s">
        <v>245</v>
      </c>
      <c r="G163" s="222"/>
      <c r="H163" s="222"/>
      <c r="I163" s="223"/>
      <c r="J163" s="61" t="s">
        <v>246</v>
      </c>
      <c r="K163" s="61" t="s">
        <v>220</v>
      </c>
      <c r="L163" s="61">
        <v>0.5</v>
      </c>
      <c r="M163" s="5"/>
      <c r="N163" s="5"/>
      <c r="O163" s="5"/>
    </row>
    <row r="164" spans="4:15" s="4" customFormat="1" hidden="1">
      <c r="D164" s="23" t="s">
        <v>238</v>
      </c>
      <c r="F164" s="227" t="s">
        <v>247</v>
      </c>
      <c r="G164" s="228"/>
      <c r="H164" s="228"/>
      <c r="I164" s="229"/>
      <c r="J164" s="63" t="s">
        <v>248</v>
      </c>
      <c r="K164" s="63" t="s">
        <v>220</v>
      </c>
      <c r="L164" s="63">
        <f>L163+L162</f>
        <v>1</v>
      </c>
      <c r="M164" s="5"/>
      <c r="N164" s="5"/>
      <c r="O164" s="5"/>
    </row>
    <row r="165" spans="4:15" s="4" customFormat="1" hidden="1">
      <c r="D165" s="23" t="s">
        <v>238</v>
      </c>
      <c r="F165" s="221" t="s">
        <v>249</v>
      </c>
      <c r="G165" s="222"/>
      <c r="H165" s="222"/>
      <c r="I165" s="223"/>
      <c r="J165" s="61" t="s">
        <v>250</v>
      </c>
      <c r="K165" s="61" t="s">
        <v>251</v>
      </c>
      <c r="L165" s="74">
        <f>4/9</f>
        <v>0.44444444444444442</v>
      </c>
      <c r="M165" s="5"/>
      <c r="N165" s="5"/>
      <c r="O165" s="5"/>
    </row>
    <row r="166" spans="4:15" s="4" customFormat="1" hidden="1">
      <c r="D166" s="23" t="s">
        <v>238</v>
      </c>
      <c r="F166" s="221" t="s">
        <v>252</v>
      </c>
      <c r="G166" s="222"/>
      <c r="H166" s="222"/>
      <c r="I166" s="223"/>
      <c r="J166" s="61" t="s">
        <v>253</v>
      </c>
      <c r="K166" s="61" t="s">
        <v>220</v>
      </c>
      <c r="L166" s="61">
        <v>15</v>
      </c>
      <c r="M166" s="5"/>
      <c r="N166" s="5"/>
      <c r="O166" s="5"/>
    </row>
    <row r="167" spans="4:15" s="4" customFormat="1" hidden="1">
      <c r="D167" s="23" t="s">
        <v>238</v>
      </c>
      <c r="F167" s="221" t="s">
        <v>254</v>
      </c>
      <c r="G167" s="222"/>
      <c r="H167" s="222"/>
      <c r="I167" s="223"/>
      <c r="J167" s="64" t="s">
        <v>255</v>
      </c>
      <c r="K167" s="61" t="s">
        <v>220</v>
      </c>
      <c r="L167" s="61">
        <v>0.2</v>
      </c>
      <c r="M167" s="5"/>
      <c r="N167" s="5"/>
      <c r="O167" s="5"/>
    </row>
    <row r="168" spans="4:15" s="4" customFormat="1" hidden="1">
      <c r="D168" s="23" t="s">
        <v>238</v>
      </c>
      <c r="F168" s="221" t="s">
        <v>256</v>
      </c>
      <c r="G168" s="222"/>
      <c r="H168" s="222"/>
      <c r="I168" s="223"/>
      <c r="J168" s="64" t="s">
        <v>257</v>
      </c>
      <c r="K168" s="61" t="s">
        <v>204</v>
      </c>
      <c r="L168" s="74">
        <f>0.35*9.81</f>
        <v>3.4335</v>
      </c>
      <c r="M168" s="5"/>
      <c r="N168" s="5"/>
      <c r="O168" s="5"/>
    </row>
    <row r="169" spans="4:15" s="4" customFormat="1" hidden="1">
      <c r="D169" s="23" t="s">
        <v>238</v>
      </c>
      <c r="F169" s="221" t="s">
        <v>258</v>
      </c>
      <c r="G169" s="222"/>
      <c r="H169" s="222"/>
      <c r="I169" s="223"/>
      <c r="J169" s="61" t="s">
        <v>259</v>
      </c>
      <c r="K169" s="61" t="s">
        <v>210</v>
      </c>
      <c r="L169" s="61">
        <v>0.5</v>
      </c>
      <c r="M169" s="5"/>
      <c r="N169" s="5"/>
      <c r="O169" s="5"/>
    </row>
    <row r="170" spans="4:15" s="4" customFormat="1" hidden="1">
      <c r="D170" s="23" t="s">
        <v>238</v>
      </c>
      <c r="F170" s="224" t="s">
        <v>260</v>
      </c>
      <c r="G170" s="225"/>
      <c r="H170" s="225"/>
      <c r="I170" s="226"/>
      <c r="J170" s="76" t="s">
        <v>261</v>
      </c>
      <c r="K170" s="76" t="s">
        <v>262</v>
      </c>
      <c r="L170" s="77">
        <f>L168*L166*PI()*(L167/2)^2*(1+L169)</f>
        <v>2.4269981346226253</v>
      </c>
      <c r="M170" s="5"/>
      <c r="N170" s="5"/>
      <c r="O170" s="5"/>
    </row>
    <row r="171" spans="4:15" s="4" customFormat="1" hidden="1">
      <c r="D171" s="23" t="s">
        <v>238</v>
      </c>
      <c r="F171" s="224" t="s">
        <v>263</v>
      </c>
      <c r="G171" s="225"/>
      <c r="H171" s="225"/>
      <c r="I171" s="226"/>
      <c r="J171" s="76" t="s">
        <v>264</v>
      </c>
      <c r="K171" s="76" t="s">
        <v>200</v>
      </c>
      <c r="L171" s="77">
        <f>L170*L165</f>
        <v>1.0786658376100555</v>
      </c>
      <c r="M171" s="5"/>
      <c r="N171" s="5"/>
      <c r="O171" s="5"/>
    </row>
    <row r="172" spans="4:15" s="4" customFormat="1" hidden="1">
      <c r="D172" s="23" t="s">
        <v>238</v>
      </c>
      <c r="F172" s="220" t="s">
        <v>268</v>
      </c>
      <c r="G172" s="220"/>
      <c r="H172" s="220"/>
      <c r="I172" s="220"/>
      <c r="J172" s="58" t="s">
        <v>240</v>
      </c>
      <c r="K172" s="58" t="s">
        <v>210</v>
      </c>
      <c r="L172" s="72" t="e">
        <f>IF(L154&lt;L164,((L146+L148*L154*COS(RADIANS(L158))*COS(RADIANS(L158))*TAN(RADIANS(L147)))*L152*L153)/((L148*L154*SIN(RADIANS(L158))*COS(RADIANS(L158))+L171)*L152*L153),((L146+(L148*L154-L151*L150*L154+L164*L150)*COS(RADIANS(L158))*COS(RADIANS(L158))*TAN(RADIANS(L147)))*L152*L153)/((L148*L154*SIN(RADIANS(L158))*COS(RADIANS(L158))+L171)*L152*L153))</f>
        <v>#N/A</v>
      </c>
      <c r="M172" s="5"/>
      <c r="N172" s="5"/>
      <c r="O172" s="5"/>
    </row>
    <row r="173" spans="4:15" s="4" customFormat="1" hidden="1">
      <c r="L173" s="5"/>
      <c r="M173" s="5"/>
      <c r="N173" s="5"/>
      <c r="O173" s="5"/>
    </row>
    <row r="174" spans="4:15" s="4" customFormat="1" hidden="1">
      <c r="L174" s="5"/>
      <c r="M174" s="5"/>
      <c r="N174" s="5"/>
      <c r="O174" s="5"/>
    </row>
    <row r="175" spans="4:15" s="4" customFormat="1" hidden="1">
      <c r="L175" s="5"/>
      <c r="M175" s="5"/>
      <c r="N175" s="5"/>
      <c r="O175" s="5"/>
    </row>
    <row r="176" spans="4:15" s="4" customFormat="1" hidden="1">
      <c r="L176" s="5"/>
      <c r="M176" s="5"/>
      <c r="N176" s="5"/>
      <c r="O176" s="5"/>
    </row>
    <row r="177" spans="12:15" s="4" customFormat="1" hidden="1">
      <c r="L177" s="5"/>
      <c r="M177" s="5"/>
      <c r="N177" s="5"/>
      <c r="O177" s="5"/>
    </row>
    <row r="178" spans="12:15" s="4" customFormat="1" hidden="1">
      <c r="L178" s="5"/>
      <c r="M178" s="5"/>
      <c r="N178" s="5"/>
      <c r="O178" s="5"/>
    </row>
    <row r="179" spans="12:15" s="4" customFormat="1" hidden="1">
      <c r="L179" s="5"/>
      <c r="M179" s="5"/>
      <c r="N179" s="5"/>
      <c r="O179" s="5"/>
    </row>
    <row r="180" spans="12:15" s="4" customFormat="1" hidden="1">
      <c r="L180" s="5"/>
      <c r="M180" s="5"/>
      <c r="N180" s="5"/>
      <c r="O180" s="5"/>
    </row>
    <row r="181" spans="12:15" s="4" customFormat="1" hidden="1">
      <c r="L181" s="5"/>
      <c r="M181" s="5"/>
      <c r="N181" s="5"/>
      <c r="O181" s="5"/>
    </row>
    <row r="182" spans="12:15" s="4" customFormat="1" hidden="1">
      <c r="L182" s="5"/>
      <c r="M182" s="5"/>
      <c r="N182" s="5"/>
      <c r="O182" s="5"/>
    </row>
    <row r="183" spans="12:15" s="4" customFormat="1">
      <c r="L183" s="5"/>
      <c r="M183" s="5"/>
      <c r="N183" s="5"/>
      <c r="O183" s="5"/>
    </row>
    <row r="184" spans="12:15" s="4" customFormat="1">
      <c r="L184" s="5"/>
      <c r="M184" s="5"/>
      <c r="N184" s="5"/>
      <c r="O184" s="5"/>
    </row>
    <row r="185" spans="12:15" s="4" customFormat="1">
      <c r="L185" s="5"/>
      <c r="M185" s="5"/>
      <c r="N185" s="5"/>
      <c r="O185" s="5"/>
    </row>
    <row r="186" spans="12:15" s="4" customFormat="1">
      <c r="L186" s="5"/>
      <c r="M186" s="5"/>
      <c r="N186" s="5"/>
      <c r="O186" s="5"/>
    </row>
    <row r="187" spans="12:15" s="4" customFormat="1">
      <c r="L187" s="5"/>
      <c r="M187" s="5"/>
      <c r="N187" s="5"/>
      <c r="O187" s="5"/>
    </row>
    <row r="188" spans="12:15" s="4" customFormat="1">
      <c r="L188" s="5"/>
      <c r="M188" s="5"/>
      <c r="N188" s="5"/>
      <c r="O188" s="5"/>
    </row>
    <row r="189" spans="12:15" s="4" customFormat="1">
      <c r="L189" s="5"/>
      <c r="M189" s="5"/>
      <c r="N189" s="5"/>
      <c r="O189" s="5"/>
    </row>
    <row r="190" spans="12:15" s="4" customFormat="1">
      <c r="L190" s="5"/>
      <c r="M190" s="5"/>
      <c r="N190" s="5"/>
      <c r="O190" s="5"/>
    </row>
    <row r="191" spans="12:15" s="4" customFormat="1">
      <c r="L191" s="5"/>
      <c r="M191" s="5"/>
      <c r="N191" s="5"/>
      <c r="O191" s="5"/>
    </row>
    <row r="192" spans="12:15" s="4" customFormat="1">
      <c r="L192" s="5"/>
      <c r="M192" s="5"/>
      <c r="N192" s="5"/>
      <c r="O192" s="5"/>
    </row>
    <row r="193" spans="12:15" s="4" customFormat="1">
      <c r="L193" s="5"/>
      <c r="M193" s="5"/>
      <c r="N193" s="5"/>
      <c r="O193" s="5"/>
    </row>
    <row r="194" spans="12:15" s="4" customFormat="1">
      <c r="L194" s="5"/>
      <c r="M194" s="5"/>
      <c r="N194" s="5"/>
      <c r="O194" s="5"/>
    </row>
    <row r="195" spans="12:15" s="4" customFormat="1">
      <c r="L195" s="5"/>
      <c r="M195" s="5"/>
      <c r="N195" s="5"/>
      <c r="O195" s="5"/>
    </row>
    <row r="196" spans="12:15" s="4" customFormat="1">
      <c r="L196" s="5"/>
      <c r="M196" s="5"/>
      <c r="N196" s="5"/>
      <c r="O196" s="5"/>
    </row>
    <row r="197" spans="12:15" s="4" customFormat="1">
      <c r="L197" s="5"/>
      <c r="M197" s="5"/>
      <c r="N197" s="5"/>
      <c r="O197" s="5"/>
    </row>
    <row r="198" spans="12:15" s="4" customFormat="1">
      <c r="L198" s="5"/>
      <c r="M198" s="5"/>
      <c r="N198" s="5"/>
      <c r="O198" s="5"/>
    </row>
    <row r="199" spans="12:15" s="4" customFormat="1">
      <c r="L199" s="5"/>
      <c r="M199" s="5"/>
      <c r="N199" s="5"/>
      <c r="O199" s="5"/>
    </row>
    <row r="200" spans="12:15" s="4" customFormat="1">
      <c r="L200" s="5"/>
      <c r="M200" s="5"/>
      <c r="N200" s="5"/>
      <c r="O200" s="5"/>
    </row>
    <row r="201" spans="12:15" s="4" customFormat="1">
      <c r="L201" s="5"/>
      <c r="M201" s="5"/>
      <c r="N201" s="5"/>
      <c r="O201" s="5"/>
    </row>
    <row r="202" spans="12:15" s="4" customFormat="1">
      <c r="L202" s="5"/>
      <c r="M202" s="5"/>
      <c r="N202" s="5"/>
      <c r="O202" s="5"/>
    </row>
    <row r="203" spans="12:15" s="4" customFormat="1">
      <c r="L203" s="5"/>
      <c r="M203" s="5"/>
      <c r="N203" s="5"/>
      <c r="O203" s="5"/>
    </row>
    <row r="204" spans="12:15" s="4" customFormat="1">
      <c r="L204" s="5"/>
      <c r="M204" s="5"/>
      <c r="N204" s="5"/>
      <c r="O204" s="5"/>
    </row>
    <row r="205" spans="12:15" s="4" customFormat="1">
      <c r="L205" s="5"/>
      <c r="M205" s="5"/>
      <c r="N205" s="5"/>
      <c r="O205" s="5"/>
    </row>
  </sheetData>
  <sheetProtection algorithmName="SHA-512" hashValue="yXvIcp82m4/aQcwl63esbakCuS9PtD5ZSb5nGkPf+k1bK2BFU1vcTfI1ZbGPQQuhVLlQ+F3ip7XJUaz082GTcA==" saltValue="CtPSi22GDd9Si7t3mEvFmA==" spinCount="100000" sheet="1" objects="1" scenarios="1"/>
  <customSheetViews>
    <customSheetView guid="{29A0FFCF-8AE3-4D83-B2A0-5792604909C6}" scale="90" hiddenRows="1" hiddenColumns="1">
      <pageMargins left="0.7" right="0.7" top="0.75" bottom="0.75" header="0.3" footer="0.3"/>
      <pageSetup paperSize="9" orientation="portrait" r:id="rId1"/>
    </customSheetView>
    <customSheetView guid="{F17311CF-9914-40DA-8951-266454DC12F5}" scale="90" hiddenRows="1" hiddenColumns="1">
      <pageMargins left="0.7" right="0.7" top="0.75" bottom="0.75" header="0.3" footer="0.3"/>
      <pageSetup paperSize="9" orientation="portrait" r:id="rId2"/>
    </customSheetView>
    <customSheetView guid="{FC848FF0-660B-4750-8525-7139E9D1F87C}" scale="90" hiddenRows="1" hiddenColumns="1">
      <pageMargins left="0.7" right="0.7" top="0.75" bottom="0.75" header="0.3" footer="0.3"/>
      <pageSetup paperSize="9" orientation="portrait" r:id="rId3"/>
    </customSheetView>
    <customSheetView guid="{F08D193B-2F97-40D9-A4DD-4A4E62D6CC62}" scale="90" hiddenRows="1" hiddenColumns="1">
      <pageMargins left="0.7" right="0.7" top="0.75" bottom="0.75" header="0.3" footer="0.3"/>
      <pageSetup paperSize="9" orientation="portrait" r:id="rId4"/>
    </customSheetView>
    <customSheetView guid="{B7C3FE13-4183-40D1-BE36-A4B701770209}" scale="90" hiddenRows="1" hiddenColumns="1">
      <pageMargins left="0.7" right="0.7" top="0.75" bottom="0.75" header="0.3" footer="0.3"/>
      <pageSetup paperSize="9" orientation="portrait" r:id="rId5"/>
    </customSheetView>
  </customSheetViews>
  <mergeCells count="61">
    <mergeCell ref="Q111:R121"/>
    <mergeCell ref="Q124:R133"/>
    <mergeCell ref="Q16:S17"/>
    <mergeCell ref="Q20:R24"/>
    <mergeCell ref="V20:W24"/>
    <mergeCell ref="Q33:R41"/>
    <mergeCell ref="V33:W41"/>
    <mergeCell ref="Q85:R91"/>
    <mergeCell ref="A112:K114"/>
    <mergeCell ref="A125:K128"/>
    <mergeCell ref="A7:K8"/>
    <mergeCell ref="M124:N124"/>
    <mergeCell ref="A99:K100"/>
    <mergeCell ref="L101:L104"/>
    <mergeCell ref="M3:N3"/>
    <mergeCell ref="A21:K23"/>
    <mergeCell ref="A60:K62"/>
    <mergeCell ref="A73:K75"/>
    <mergeCell ref="A86:K88"/>
    <mergeCell ref="L63:L65"/>
    <mergeCell ref="F151:I151"/>
    <mergeCell ref="F152:I152"/>
    <mergeCell ref="F153:I153"/>
    <mergeCell ref="F145:I145"/>
    <mergeCell ref="F146:I146"/>
    <mergeCell ref="F147:I147"/>
    <mergeCell ref="F148:I148"/>
    <mergeCell ref="F149:I149"/>
    <mergeCell ref="F150:I150"/>
    <mergeCell ref="F154:I154"/>
    <mergeCell ref="F155:I155"/>
    <mergeCell ref="F156:I156"/>
    <mergeCell ref="F157:I157"/>
    <mergeCell ref="F159:I159"/>
    <mergeCell ref="F162:I162"/>
    <mergeCell ref="F163:I163"/>
    <mergeCell ref="F164:I164"/>
    <mergeCell ref="F165:I165"/>
    <mergeCell ref="F166:I166"/>
    <mergeCell ref="F172:I172"/>
    <mergeCell ref="F167:I167"/>
    <mergeCell ref="F168:I168"/>
    <mergeCell ref="F169:I169"/>
    <mergeCell ref="F170:I170"/>
    <mergeCell ref="F171:I171"/>
    <mergeCell ref="AD48:AF48"/>
    <mergeCell ref="Q47:R54"/>
    <mergeCell ref="AC22:AE30"/>
    <mergeCell ref="AC102:AE105"/>
    <mergeCell ref="AC106:AE106"/>
    <mergeCell ref="Q98:S108"/>
    <mergeCell ref="AC50:AE52"/>
    <mergeCell ref="AC54:AE54"/>
    <mergeCell ref="AC55:AE55"/>
    <mergeCell ref="AC37:AE40"/>
    <mergeCell ref="AC41:AE41"/>
    <mergeCell ref="V47:W56"/>
    <mergeCell ref="Q59:R65"/>
    <mergeCell ref="Q72:R78"/>
    <mergeCell ref="Q79:R80"/>
    <mergeCell ref="V98:W106"/>
  </mergeCells>
  <conditionalFormatting sqref="H137">
    <cfRule type="cellIs" dxfId="57" priority="18" operator="equal">
      <formula>"VERY HIGH"</formula>
    </cfRule>
    <cfRule type="cellIs" dxfId="56" priority="19" operator="equal">
      <formula>"HIGH"</formula>
    </cfRule>
    <cfRule type="cellIs" dxfId="55" priority="20" operator="equal">
      <formula>"MODERATE"</formula>
    </cfRule>
    <cfRule type="cellIs" dxfId="54" priority="21" operator="equal">
      <formula>"LOW"</formula>
    </cfRule>
    <cfRule type="cellIs" dxfId="53" priority="22" operator="equal">
      <formula>"VERY LOW"</formula>
    </cfRule>
  </conditionalFormatting>
  <conditionalFormatting sqref="L63:L65">
    <cfRule type="expression" dxfId="52" priority="2">
      <formula>"L59=""Undulating peat among rock outcrops"""</formula>
    </cfRule>
  </conditionalFormatting>
  <conditionalFormatting sqref="L101">
    <cfRule type="expression" dxfId="51" priority="1">
      <formula>"L59=""Undulating peat among rock outcrops"""</formula>
    </cfRule>
  </conditionalFormatting>
  <conditionalFormatting sqref="L142">
    <cfRule type="cellIs" dxfId="50" priority="4" operator="greaterThan">
      <formula>2</formula>
    </cfRule>
    <cfRule type="cellIs" dxfId="49" priority="5" operator="between">
      <formula>1.4</formula>
      <formula>2</formula>
    </cfRule>
    <cfRule type="cellIs" dxfId="48" priority="6" operator="between">
      <formula>1</formula>
      <formula>1.4</formula>
    </cfRule>
    <cfRule type="cellIs" dxfId="47" priority="7" operator="lessThan">
      <formula>1</formula>
    </cfRule>
  </conditionalFormatting>
  <conditionalFormatting sqref="M35:N37">
    <cfRule type="expression" dxfId="46" priority="12">
      <formula>ISERROR(M35)=TRUE</formula>
    </cfRule>
  </conditionalFormatting>
  <hyperlinks>
    <hyperlink ref="A41" r:id="rId6" xr:uid="{00000000-0004-0000-0100-000000000000}"/>
    <hyperlink ref="A42" r:id="rId7" xr:uid="{00000000-0004-0000-0100-000001000000}"/>
    <hyperlink ref="A51" r:id="rId8" xr:uid="{00000000-0004-0000-0100-000002000000}"/>
    <hyperlink ref="AC41:AE41" r:id="rId9" display="GE / MM Guide" xr:uid="{00000000-0004-0000-0100-000003000000}"/>
    <hyperlink ref="AC106:AE106" r:id="rId10" display="GE / MM Guide" xr:uid="{00000000-0004-0000-0100-000004000000}"/>
  </hyperlinks>
  <pageMargins left="0.7" right="0.7" top="0.75" bottom="0.75" header="0.3" footer="0.3"/>
  <pageSetup paperSize="9" orientation="portrait" r:id="rId11"/>
  <ignoredErrors>
    <ignoredError sqref="M37:N37 L44 M36:N36" evalError="1"/>
  </ignoredErrors>
  <drawing r:id="rId12"/>
  <legacyDrawing r:id="rId1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'Drop Down Options'!$D$58:$D$62</xm:f>
          </x14:formula1>
          <xm:sqref>L72</xm:sqref>
        </x14:dataValidation>
        <x14:dataValidation type="list" allowBlank="1" showInputMessage="1" showErrorMessage="1" xr:uid="{00000000-0002-0000-0100-000001000000}">
          <x14:formula1>
            <xm:f>'Drop Down Options'!$D$66:$D$70</xm:f>
          </x14:formula1>
          <xm:sqref>L85</xm:sqref>
        </x14:dataValidation>
        <x14:dataValidation type="list" allowBlank="1" showInputMessage="1" showErrorMessage="1" xr:uid="{00000000-0002-0000-0100-000002000000}">
          <x14:formula1>
            <xm:f>'Drop Down Options'!$D$79:$D$82</xm:f>
          </x14:formula1>
          <xm:sqref>L111</xm:sqref>
        </x14:dataValidation>
        <x14:dataValidation type="list" allowBlank="1" showInputMessage="1" showErrorMessage="1" xr:uid="{00000000-0002-0000-0100-000003000000}">
          <x14:formula1>
            <xm:f>'Drop Down Options'!$D$21:$D$40</xm:f>
          </x14:formula1>
          <xm:sqref>L20</xm:sqref>
        </x14:dataValidation>
        <x14:dataValidation type="list" allowBlank="1" showInputMessage="1" showErrorMessage="1" xr:uid="{00000000-0002-0000-0100-000004000000}">
          <x14:formula1>
            <xm:f>'Drop Down Options'!$D$12:$D$18</xm:f>
          </x14:formula1>
          <xm:sqref>L35</xm:sqref>
        </x14:dataValidation>
        <x14:dataValidation type="list" allowBlank="1" showInputMessage="1" showErrorMessage="1" xr:uid="{00000000-0002-0000-0100-000005000000}">
          <x14:formula1>
            <xm:f>'Drop Down Options'!$D$92:$D$94</xm:f>
          </x14:formula1>
          <xm:sqref>L124</xm:sqref>
        </x14:dataValidation>
        <x14:dataValidation type="list" allowBlank="1" showInputMessage="1" showErrorMessage="1" xr:uid="{00000000-0002-0000-0100-000006000000}">
          <x14:formula1>
            <xm:f>'Drop Down Options'!$G$12:$G$18</xm:f>
          </x14:formula1>
          <xm:sqref>L36</xm:sqref>
        </x14:dataValidation>
        <x14:dataValidation type="list" allowBlank="1" showInputMessage="1" showErrorMessage="1" xr:uid="{00000000-0002-0000-0100-000007000000}">
          <x14:formula1>
            <xm:f>'Drop Down Options'!$D$7:$D$8</xm:f>
          </x14:formula1>
          <xm:sqref>L6</xm:sqref>
        </x14:dataValidation>
        <x14:dataValidation type="list" allowBlank="1" showInputMessage="1" showErrorMessage="1" xr:uid="{00000000-0002-0000-0100-000008000000}">
          <x14:formula1>
            <xm:f>'Drop Down Options'!$D$43:$D$46</xm:f>
          </x14:formula1>
          <xm:sqref>L47</xm:sqref>
        </x14:dataValidation>
        <x14:dataValidation type="list" allowBlank="1" showInputMessage="1" showErrorMessage="1" xr:uid="{00000000-0002-0000-0100-000009000000}">
          <x14:formula1>
            <xm:f>'Drop Down Options'!$D$73:$D$76</xm:f>
          </x14:formula1>
          <xm:sqref>L98</xm:sqref>
        </x14:dataValidation>
        <x14:dataValidation type="list" allowBlank="1" showInputMessage="1" showErrorMessage="1" xr:uid="{00000000-0002-0000-0100-00000A000000}">
          <x14:formula1>
            <xm:f>'Drop Down Options'!$D$49:$D$55</xm:f>
          </x14:formula1>
          <xm:sqref>K59:L59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337"/>
  <sheetViews>
    <sheetView workbookViewId="0">
      <selection activeCell="B16" sqref="B16"/>
    </sheetView>
  </sheetViews>
  <sheetFormatPr defaultRowHeight="15"/>
  <cols>
    <col min="1" max="1" width="45.7109375" bestFit="1" customWidth="1"/>
    <col min="2" max="2" width="11.28515625" customWidth="1"/>
    <col min="3" max="3" width="11.85546875" customWidth="1"/>
    <col min="4" max="4" width="1.85546875" style="4" customWidth="1"/>
    <col min="5" max="5" width="63.85546875" customWidth="1"/>
    <col min="6" max="6" width="15.140625" style="2" hidden="1" customWidth="1"/>
    <col min="7" max="7" width="9.140625" hidden="1" customWidth="1"/>
    <col min="10" max="36" width="9.140625" style="4"/>
  </cols>
  <sheetData>
    <row r="1" spans="1:16" ht="18.75">
      <c r="A1" s="3" t="s">
        <v>92</v>
      </c>
      <c r="B1" s="3"/>
      <c r="C1" s="4"/>
      <c r="E1" s="4"/>
      <c r="F1" s="5"/>
      <c r="G1" s="4"/>
      <c r="H1" s="4"/>
      <c r="I1" s="4"/>
    </row>
    <row r="2" spans="1:16" ht="18.75">
      <c r="A2" s="3"/>
      <c r="B2" s="3"/>
      <c r="C2" s="4"/>
      <c r="E2" s="4"/>
      <c r="F2" s="5"/>
      <c r="G2" s="4"/>
      <c r="H2" s="4"/>
      <c r="I2" s="4"/>
    </row>
    <row r="3" spans="1:16" hidden="1">
      <c r="A3" s="4"/>
      <c r="B3" s="4"/>
      <c r="C3" s="4"/>
      <c r="E3" s="4"/>
      <c r="F3" s="5"/>
      <c r="G3" s="4"/>
      <c r="H3" s="4"/>
      <c r="I3" s="4"/>
    </row>
    <row r="4" spans="1:16">
      <c r="A4" s="7" t="s">
        <v>24</v>
      </c>
      <c r="B4" s="7"/>
      <c r="C4" s="4"/>
      <c r="E4" s="4"/>
      <c r="F4" s="5"/>
      <c r="G4" s="4"/>
      <c r="H4" s="4"/>
      <c r="I4" s="4"/>
    </row>
    <row r="5" spans="1:16">
      <c r="A5" s="4" t="s">
        <v>79</v>
      </c>
      <c r="B5" s="4"/>
      <c r="C5" s="4"/>
      <c r="E5" s="4"/>
      <c r="F5" s="5"/>
      <c r="G5" s="4"/>
      <c r="H5" s="4"/>
      <c r="I5" s="4"/>
    </row>
    <row r="6" spans="1:16">
      <c r="A6" s="4"/>
      <c r="B6" s="4"/>
      <c r="C6" s="4"/>
      <c r="E6" s="4"/>
      <c r="F6" s="5"/>
      <c r="G6" s="4"/>
      <c r="H6" s="4"/>
      <c r="I6" s="4"/>
    </row>
    <row r="7" spans="1:16">
      <c r="A7" s="26" t="s">
        <v>124</v>
      </c>
      <c r="B7" s="27"/>
      <c r="C7" s="5"/>
      <c r="D7" s="28"/>
      <c r="E7" s="29" t="s">
        <v>88</v>
      </c>
      <c r="F7" s="48" t="s">
        <v>315</v>
      </c>
      <c r="G7" s="4"/>
      <c r="H7" s="142"/>
      <c r="I7" s="142"/>
      <c r="J7" s="142"/>
      <c r="K7" s="142"/>
      <c r="L7" s="142"/>
      <c r="M7" s="142"/>
      <c r="P7" s="142"/>
    </row>
    <row r="8" spans="1:16">
      <c r="A8" s="15" t="s">
        <v>434</v>
      </c>
      <c r="B8" s="4"/>
      <c r="C8" s="195"/>
      <c r="D8" s="5"/>
      <c r="E8" s="178" t="str">
        <f>IF(C8="","n/a",VLOOKUP('1. Pre-Restoration Likelihood'!$L$111,'Drop Down Options'!$J$21:$N$24,4,FALSE))</f>
        <v>n/a</v>
      </c>
      <c r="F8" s="5" t="str">
        <f>IF(C8="","",VLOOKUP('1. Pre-Restoration Likelihood'!$L$111,'Drop Down Options'!$J$21:$N$24,3,FALSE))</f>
        <v/>
      </c>
      <c r="H8" s="4"/>
      <c r="I8" s="4"/>
    </row>
    <row r="9" spans="1:16">
      <c r="A9" s="15" t="s">
        <v>435</v>
      </c>
      <c r="B9" s="4"/>
      <c r="C9" s="195"/>
      <c r="D9" s="5"/>
      <c r="E9" s="178" t="str">
        <f>IF(C9="","n/a",VLOOKUP('1. Pre-Restoration Likelihood'!$L$111,'Drop Down Options'!$J$26:$N$29,4,FALSE))</f>
        <v>n/a</v>
      </c>
      <c r="F9" s="5" t="str">
        <f>IF(C9="","",VLOOKUP('1. Pre-Restoration Likelihood'!$L$111,'Drop Down Options'!$J$26:$N$29,3,FALSE))</f>
        <v/>
      </c>
      <c r="G9" s="4"/>
      <c r="H9" s="23"/>
      <c r="I9" s="4"/>
    </row>
    <row r="10" spans="1:16">
      <c r="A10" s="15" t="s">
        <v>80</v>
      </c>
      <c r="B10" s="4"/>
      <c r="C10" s="195"/>
      <c r="D10" s="5"/>
      <c r="E10" s="178" t="str">
        <f>IF(C10="","n/a",VLOOKUP('1. Pre-Restoration Likelihood'!$L$111,'Drop Down Options'!$J$31:$N$34,4,FALSE))</f>
        <v>n/a</v>
      </c>
      <c r="F10" s="5" t="str">
        <f>IF(C10="","",VLOOKUP('1. Pre-Restoration Likelihood'!$L$111,'Drop Down Options'!$J$31:$N$34,3,FALSE))</f>
        <v/>
      </c>
      <c r="G10" s="4"/>
      <c r="H10" s="23"/>
      <c r="I10" s="4"/>
    </row>
    <row r="11" spans="1:16">
      <c r="A11" s="15" t="s">
        <v>445</v>
      </c>
      <c r="B11" s="4"/>
      <c r="C11" s="195"/>
      <c r="D11" s="5"/>
      <c r="E11" s="178" t="str">
        <f>IF(C11="","n/a",VLOOKUP('1. Pre-Restoration Likelihood'!$L$111,'Drop Down Options'!$J$36:$N$39,4,FALSE))</f>
        <v>n/a</v>
      </c>
      <c r="F11" s="5" t="str">
        <f>IF(C11="","",VLOOKUP('1. Pre-Restoration Likelihood'!$L$111,'Drop Down Options'!$J$36:$N$39,3,FALSE))</f>
        <v/>
      </c>
      <c r="G11" s="4"/>
      <c r="H11" s="23"/>
      <c r="I11" s="4"/>
    </row>
    <row r="12" spans="1:16">
      <c r="A12" s="15" t="s">
        <v>81</v>
      </c>
      <c r="B12" s="4"/>
      <c r="C12" s="195"/>
      <c r="D12" s="5"/>
      <c r="E12" s="178" t="str">
        <f>IF(C12="","n/a",VLOOKUP('1. Pre-Restoration Likelihood'!$L$111,'Drop Down Options'!$J$36:$N$39,4,FALSE))</f>
        <v>n/a</v>
      </c>
      <c r="F12" s="5" t="str">
        <f>IF(C12="","",VLOOKUP('1. Pre-Restoration Likelihood'!$L$111,'Drop Down Options'!$J$36:$N$39,3,FALSE))</f>
        <v/>
      </c>
      <c r="G12" s="4"/>
      <c r="H12" s="23"/>
      <c r="I12" s="4"/>
    </row>
    <row r="13" spans="1:16">
      <c r="A13" s="172" t="s">
        <v>436</v>
      </c>
      <c r="C13" s="195"/>
      <c r="D13" s="5"/>
      <c r="E13" s="178" t="str">
        <f>IF(C13="","n/a",VLOOKUP('1. Pre-Restoration Likelihood'!$L$111,'Drop Down Options'!$J$36:$N$39,4,FALSE))</f>
        <v>n/a</v>
      </c>
      <c r="F13" s="5"/>
      <c r="G13" s="4"/>
      <c r="H13" s="23"/>
      <c r="I13" s="4"/>
    </row>
    <row r="14" spans="1:16">
      <c r="A14" s="173"/>
      <c r="B14" s="6"/>
      <c r="C14" s="5"/>
      <c r="D14" s="5"/>
      <c r="E14" s="178"/>
      <c r="F14" s="5"/>
      <c r="G14" s="4"/>
      <c r="H14" s="23"/>
      <c r="I14" s="4"/>
    </row>
    <row r="15" spans="1:16">
      <c r="A15" s="15" t="s">
        <v>438</v>
      </c>
      <c r="B15" s="4"/>
      <c r="C15" s="196"/>
      <c r="D15" s="5"/>
      <c r="E15" s="178" t="str">
        <f>IF(C15="","n/a",VLOOKUP(C15,'Drop Down Options'!$K$41:$M$41,3,FALSE))</f>
        <v>n/a</v>
      </c>
      <c r="F15" s="5" t="str">
        <f>IF(C15="","",VLOOKUP(C15,'Drop Down Options'!$K$41:$M$41,2,FALSE))</f>
        <v/>
      </c>
      <c r="G15" s="4"/>
      <c r="H15" s="4"/>
      <c r="I15" s="4"/>
    </row>
    <row r="16" spans="1:16">
      <c r="A16" s="15" t="s">
        <v>437</v>
      </c>
      <c r="B16" s="4"/>
      <c r="C16" s="196"/>
      <c r="D16" s="5"/>
      <c r="E16" s="178" t="str">
        <f>IF($C16="","n/a",VLOOKUP($C16,'Drop Down Options'!$K$43:$M$43,3,FALSE))</f>
        <v>n/a</v>
      </c>
      <c r="F16" s="5" t="str">
        <f>IF($C16="","",VLOOKUP($C16,'Drop Down Options'!$K$43:$M$43,2,FALSE))</f>
        <v/>
      </c>
      <c r="G16" s="4"/>
      <c r="H16" s="4"/>
      <c r="I16" s="4"/>
    </row>
    <row r="17" spans="1:9">
      <c r="A17" s="173"/>
      <c r="B17" s="6"/>
      <c r="C17" s="2"/>
      <c r="D17" s="5"/>
      <c r="E17" s="178"/>
      <c r="F17" s="5"/>
      <c r="G17" s="4"/>
      <c r="H17" s="142"/>
      <c r="I17" s="4"/>
    </row>
    <row r="18" spans="1:9">
      <c r="A18" s="15" t="s">
        <v>83</v>
      </c>
      <c r="B18" s="4"/>
      <c r="C18" s="197"/>
      <c r="D18" s="5"/>
      <c r="E18" s="178" t="str">
        <f>IF($C18="","n/a",VLOOKUP($C18,'Drop Down Options'!$K$45:$M$45,3,FALSE))</f>
        <v>n/a</v>
      </c>
      <c r="F18" s="5" t="str">
        <f>IF($C18="","",VLOOKUP($C18,'Drop Down Options'!$K$45:$M$45,2,FALSE))</f>
        <v/>
      </c>
      <c r="G18" s="4"/>
      <c r="H18" s="4"/>
      <c r="I18" s="4"/>
    </row>
    <row r="19" spans="1:9">
      <c r="A19" s="15" t="s">
        <v>446</v>
      </c>
      <c r="B19" s="4"/>
      <c r="C19" s="197"/>
      <c r="D19" s="5"/>
      <c r="E19" s="178" t="str">
        <f>IF($C19="","n/a",VLOOKUP($C19,'Drop Down Options'!$K$47:$M$47,3,FALSE))</f>
        <v>n/a</v>
      </c>
      <c r="F19" s="5" t="str">
        <f>IF($C19="","",VLOOKUP($C19,'Drop Down Options'!$K$47:$M$47,2,FALSE))</f>
        <v/>
      </c>
      <c r="G19" s="4"/>
      <c r="H19" s="4"/>
      <c r="I19" s="4"/>
    </row>
    <row r="20" spans="1:9">
      <c r="A20" s="15"/>
      <c r="B20" s="4"/>
      <c r="C20" s="5"/>
      <c r="D20" s="5"/>
      <c r="E20" s="178"/>
      <c r="F20" s="5"/>
      <c r="G20" s="4"/>
      <c r="H20" s="4"/>
      <c r="I20" s="4"/>
    </row>
    <row r="21" spans="1:9">
      <c r="A21" s="15" t="s">
        <v>441</v>
      </c>
      <c r="B21" s="4"/>
      <c r="C21" s="198"/>
      <c r="D21" s="5"/>
      <c r="E21" s="178" t="str">
        <f>IF($C21="","n/a",VLOOKUP($C21,'Drop Down Options'!$K$49:$M$49,3,FALSE))</f>
        <v>n/a</v>
      </c>
      <c r="F21" s="5" t="str">
        <f>IF($C21="","",VLOOKUP($C21,'Drop Down Options'!$K$49:$M$49,2,FALSE))</f>
        <v/>
      </c>
      <c r="G21" s="4"/>
      <c r="H21" s="4"/>
      <c r="I21" s="4"/>
    </row>
    <row r="22" spans="1:9">
      <c r="A22" s="15" t="s">
        <v>439</v>
      </c>
      <c r="B22" s="4"/>
      <c r="C22" s="198"/>
      <c r="D22" s="5"/>
      <c r="E22" s="178" t="str">
        <f>IF($C22="","n/a",VLOOKUP($C22,'Drop Down Options'!$K$49:$M$49,3,FALSE))</f>
        <v>n/a</v>
      </c>
      <c r="F22" s="5" t="str">
        <f>IF($C22="","",VLOOKUP($C22,'Drop Down Options'!$K$49:$M$49,2,FALSE))</f>
        <v/>
      </c>
      <c r="G22" s="4"/>
      <c r="H22" s="4"/>
      <c r="I22" s="4"/>
    </row>
    <row r="23" spans="1:9">
      <c r="A23" s="15" t="s">
        <v>440</v>
      </c>
      <c r="B23" s="4"/>
      <c r="C23" s="198"/>
      <c r="D23" s="5"/>
      <c r="E23" s="178" t="str">
        <f>IF($C23="","n/a",VLOOKUP($C23,'Drop Down Options'!$K$49:$M$49,3,FALSE))</f>
        <v>n/a</v>
      </c>
      <c r="F23" s="5" t="str">
        <f>IF($C23="","",VLOOKUP($C23,'Drop Down Options'!$K$49:$M$49,2,FALSE))</f>
        <v/>
      </c>
      <c r="G23" s="4"/>
      <c r="H23" s="4"/>
      <c r="I23" s="4"/>
    </row>
    <row r="24" spans="1:9">
      <c r="A24" s="173"/>
      <c r="B24" s="6"/>
      <c r="C24" s="5"/>
      <c r="D24" s="5"/>
      <c r="E24" s="178"/>
      <c r="F24" s="5"/>
      <c r="G24" s="4"/>
      <c r="H24" s="4"/>
      <c r="I24" s="4"/>
    </row>
    <row r="25" spans="1:9">
      <c r="A25" s="15" t="s">
        <v>87</v>
      </c>
      <c r="B25" s="4"/>
      <c r="C25" s="199"/>
      <c r="D25" s="5"/>
      <c r="E25" s="178" t="str">
        <f>IF($C25="","n/a",VLOOKUP($C25,'Drop Down Options'!$K$51:$M$51,3,FALSE))</f>
        <v>n/a</v>
      </c>
      <c r="F25" s="5" t="str">
        <f>IF($C25="","",VLOOKUP($C25,'Drop Down Options'!$K$51:$M$51,2,FALSE))</f>
        <v/>
      </c>
      <c r="G25" s="4"/>
      <c r="H25" s="4"/>
      <c r="I25" s="4"/>
    </row>
    <row r="26" spans="1:9">
      <c r="A26" s="15"/>
      <c r="B26" s="4"/>
      <c r="C26" s="5"/>
      <c r="D26" s="5"/>
      <c r="E26" s="178"/>
      <c r="F26" s="5"/>
      <c r="G26" s="4"/>
      <c r="H26" s="4"/>
      <c r="I26" s="4"/>
    </row>
    <row r="27" spans="1:9">
      <c r="A27" s="174" t="s">
        <v>125</v>
      </c>
      <c r="B27" s="30"/>
      <c r="C27" s="5"/>
      <c r="D27" s="28"/>
      <c r="E27" s="179"/>
      <c r="F27" s="28"/>
      <c r="G27" s="4"/>
      <c r="H27" s="4"/>
      <c r="I27" s="4"/>
    </row>
    <row r="28" spans="1:9">
      <c r="A28" s="15" t="s">
        <v>447</v>
      </c>
      <c r="B28" s="4"/>
      <c r="C28" s="200"/>
      <c r="D28" s="5"/>
      <c r="E28" s="178" t="str">
        <f>IF($C28="","n/a",VLOOKUP($C28,'Drop Down Options'!$K$53:$M$53,3,FALSE))</f>
        <v>n/a</v>
      </c>
      <c r="F28" s="5" t="str">
        <f>IF($C28="","",VLOOKUP($C28,'Drop Down Options'!$K$53:$M$53,2,FALSE))</f>
        <v/>
      </c>
      <c r="G28" s="4"/>
      <c r="H28" s="23"/>
      <c r="I28" s="4"/>
    </row>
    <row r="29" spans="1:9">
      <c r="A29" s="15" t="s">
        <v>457</v>
      </c>
      <c r="B29" s="4"/>
      <c r="C29" s="200"/>
      <c r="D29" s="5"/>
      <c r="E29" s="178" t="str">
        <f>IF($C29="","n/a",VLOOKUP($C29,'Drop Down Options'!$K$55:$M$55,3,FALSE))</f>
        <v>n/a</v>
      </c>
      <c r="F29" s="5" t="str">
        <f>IF($C29="","",VLOOKUP($C29,'Drop Down Options'!$K$55:$M$55,2,FALSE))</f>
        <v/>
      </c>
      <c r="G29" s="4"/>
      <c r="H29" s="23"/>
      <c r="I29" s="4"/>
    </row>
    <row r="30" spans="1:9">
      <c r="A30" s="15" t="s">
        <v>86</v>
      </c>
      <c r="B30" s="4"/>
      <c r="C30" s="5"/>
      <c r="D30" s="5"/>
      <c r="E30" s="180"/>
      <c r="F30" s="5"/>
      <c r="G30" s="4"/>
      <c r="H30" s="23"/>
      <c r="I30" s="4"/>
    </row>
    <row r="31" spans="1:9">
      <c r="A31" s="175" t="s">
        <v>89</v>
      </c>
      <c r="B31" s="24"/>
      <c r="C31" s="200"/>
      <c r="D31" s="5"/>
      <c r="E31" s="178" t="str">
        <f>IF($C31="","n/a",VLOOKUP($C31,'Drop Down Options'!$K$57:$M$57,3,FALSE))</f>
        <v>n/a</v>
      </c>
      <c r="F31" s="5" t="str">
        <f>IF($C31="","",VLOOKUP($C31,'Drop Down Options'!$K$57:$M$57,2,FALSE))</f>
        <v/>
      </c>
      <c r="G31" s="4"/>
      <c r="H31" s="23"/>
      <c r="I31" s="4"/>
    </row>
    <row r="32" spans="1:9">
      <c r="A32" s="175" t="s">
        <v>122</v>
      </c>
      <c r="B32" s="24"/>
      <c r="C32" s="200"/>
      <c r="D32" s="5"/>
      <c r="E32" s="178" t="str">
        <f>IF($C32="","n/a",VLOOKUP($C32,'Drop Down Options'!$K$59:$M$59,3,FALSE))</f>
        <v>n/a</v>
      </c>
      <c r="F32" s="5" t="str">
        <f>IF($C32="","",VLOOKUP($C32,'Drop Down Options'!$K$59:$M$59,2,FALSE))</f>
        <v/>
      </c>
      <c r="G32" s="4"/>
      <c r="H32" s="23"/>
      <c r="I32" s="4"/>
    </row>
    <row r="33" spans="1:11">
      <c r="A33" s="175" t="s">
        <v>123</v>
      </c>
      <c r="B33" s="24"/>
      <c r="C33" s="200"/>
      <c r="D33" s="5"/>
      <c r="E33" s="178" t="str">
        <f>IF($C33="","n/a",VLOOKUP($C33,'Drop Down Options'!$K$61:$M$61,3,FALSE))</f>
        <v>n/a</v>
      </c>
      <c r="F33" s="5" t="str">
        <f>IF($C33="","",VLOOKUP($C33,'Drop Down Options'!$K$61:$M$61,2,FALSE))</f>
        <v/>
      </c>
      <c r="G33" s="4"/>
      <c r="H33" s="23"/>
      <c r="I33" s="4"/>
    </row>
    <row r="34" spans="1:11">
      <c r="A34" s="175"/>
      <c r="B34" s="24"/>
      <c r="C34" s="5"/>
      <c r="D34" s="5"/>
      <c r="E34" s="181"/>
      <c r="F34" s="5"/>
      <c r="G34" s="4"/>
      <c r="H34" s="23"/>
      <c r="I34" s="4"/>
    </row>
    <row r="35" spans="1:11">
      <c r="A35" s="15" t="s">
        <v>434</v>
      </c>
      <c r="B35" s="4"/>
      <c r="C35" s="195"/>
      <c r="D35" s="5"/>
      <c r="E35" s="178" t="str">
        <f>IF(C35="","n/a",VLOOKUP('1. Pre-Restoration Likelihood'!$L$111,'Drop Down Options'!$J$21:$N$24,4,FALSE))</f>
        <v>n/a</v>
      </c>
      <c r="F35" s="5" t="str">
        <f>IF(C35="","",VLOOKUP('1. Pre-Restoration Likelihood'!$L$111,'Drop Down Options'!$J$21:$N$24,3,FALSE))</f>
        <v/>
      </c>
      <c r="H35" s="4"/>
      <c r="I35" s="4"/>
    </row>
    <row r="36" spans="1:11">
      <c r="A36" s="15" t="s">
        <v>435</v>
      </c>
      <c r="B36" s="4"/>
      <c r="C36" s="195"/>
      <c r="D36" s="5"/>
      <c r="E36" s="178" t="str">
        <f>IF(C36="","n/a",VLOOKUP('1. Pre-Restoration Likelihood'!$L$111,'Drop Down Options'!$J$26:$N$29,4,FALSE))</f>
        <v>n/a</v>
      </c>
      <c r="F36" s="5" t="str">
        <f>IF(C36="","",VLOOKUP('1. Pre-Restoration Likelihood'!$L$111,'Drop Down Options'!$J$26:$N$29,3,FALSE))</f>
        <v/>
      </c>
      <c r="G36" s="4"/>
      <c r="H36" s="23"/>
      <c r="I36" s="4"/>
    </row>
    <row r="37" spans="1:11">
      <c r="A37" s="15" t="s">
        <v>80</v>
      </c>
      <c r="B37" s="4"/>
      <c r="C37" s="195"/>
      <c r="D37" s="5"/>
      <c r="E37" s="178" t="str">
        <f>IF(C37="","n/a",VLOOKUP('1. Pre-Restoration Likelihood'!$L$111,'Drop Down Options'!$J$31:$N$34,4,FALSE))</f>
        <v>n/a</v>
      </c>
      <c r="F37" s="5" t="str">
        <f>IF(C37="","",VLOOKUP('1. Pre-Restoration Likelihood'!$L$111,'Drop Down Options'!$J$31:$N$34,3,FALSE))</f>
        <v/>
      </c>
      <c r="G37" s="4"/>
      <c r="H37" s="23"/>
      <c r="I37" s="4"/>
    </row>
    <row r="38" spans="1:11">
      <c r="A38" s="15" t="s">
        <v>445</v>
      </c>
      <c r="B38" s="4"/>
      <c r="C38" s="195"/>
      <c r="D38" s="5"/>
      <c r="E38" s="178" t="str">
        <f>IF(C38="","n/a",VLOOKUP('1. Pre-Restoration Likelihood'!$L$111,'Drop Down Options'!$J$36:$N$39,4,FALSE))</f>
        <v>n/a</v>
      </c>
      <c r="F38" s="5" t="str">
        <f>IF(C38="","",VLOOKUP('1. Pre-Restoration Likelihood'!$L$111,'Drop Down Options'!$J$36:$N$39,3,FALSE))</f>
        <v/>
      </c>
      <c r="G38" s="4"/>
      <c r="H38" s="23"/>
      <c r="I38" s="4"/>
    </row>
    <row r="39" spans="1:11">
      <c r="A39" s="15" t="s">
        <v>448</v>
      </c>
      <c r="B39" s="4"/>
      <c r="C39" s="195"/>
      <c r="D39" s="5"/>
      <c r="E39" s="178" t="str">
        <f>IF(C39="","n/a",VLOOKUP('1. Pre-Restoration Likelihood'!$L$111,'Drop Down Options'!$J$36:$N$39,4,FALSE))</f>
        <v>n/a</v>
      </c>
      <c r="F39" s="5" t="str">
        <f>IF(C39="","",VLOOKUP('1. Pre-Restoration Likelihood'!$L$111,'Drop Down Options'!$J$36:$N$39,3,FALSE))</f>
        <v/>
      </c>
      <c r="G39" s="4"/>
      <c r="H39" s="23"/>
      <c r="I39" s="4"/>
    </row>
    <row r="40" spans="1:11" hidden="1">
      <c r="A40" s="175"/>
      <c r="B40" s="24"/>
      <c r="C40" s="25"/>
      <c r="D40" s="5"/>
      <c r="E40" s="163"/>
      <c r="F40" s="5"/>
      <c r="G40" s="204" t="s">
        <v>141</v>
      </c>
      <c r="H40" s="162"/>
      <c r="I40" s="162"/>
    </row>
    <row r="41" spans="1:11" hidden="1">
      <c r="A41" s="173"/>
      <c r="B41" s="6"/>
      <c r="C41" s="4"/>
      <c r="E41" s="162"/>
      <c r="F41" s="5">
        <f>(MAX(F15:F16))+(MIN(F18:F19))+(MAX(F21:F23))+(MAX(F25))</f>
        <v>0</v>
      </c>
      <c r="G41" s="4" t="s">
        <v>429</v>
      </c>
      <c r="H41" s="162"/>
      <c r="I41" s="162"/>
    </row>
    <row r="42" spans="1:11" hidden="1">
      <c r="A42" s="173"/>
      <c r="B42" s="6"/>
      <c r="C42" s="4"/>
      <c r="E42" s="162"/>
      <c r="F42" s="5">
        <f>MAX(F28)+MAX(F29)+(MIN(F31:F33))</f>
        <v>0</v>
      </c>
      <c r="G42" s="4" t="s">
        <v>430</v>
      </c>
      <c r="H42" s="162"/>
      <c r="I42" s="162"/>
    </row>
    <row r="43" spans="1:11" hidden="1">
      <c r="A43" s="6"/>
      <c r="B43" s="6"/>
      <c r="C43" s="4"/>
      <c r="E43" s="162"/>
      <c r="F43" s="2">
        <f>MAX(F8:F13,F35:F39)</f>
        <v>0</v>
      </c>
      <c r="G43" s="4" t="s">
        <v>431</v>
      </c>
      <c r="H43" s="162"/>
      <c r="I43" s="162"/>
      <c r="K43" s="142"/>
    </row>
    <row r="44" spans="1:11">
      <c r="A44" s="6"/>
      <c r="B44" s="6"/>
      <c r="C44" s="4"/>
      <c r="E44" s="162"/>
      <c r="F44" s="5" t="e">
        <f>'1. Pre-Restoration Likelihood'!L137+F41+F42+F43</f>
        <v>#N/A</v>
      </c>
      <c r="G44" s="4" t="s">
        <v>91</v>
      </c>
      <c r="H44" s="162"/>
      <c r="I44" s="162"/>
    </row>
    <row r="45" spans="1:11">
      <c r="A45" s="19" t="s">
        <v>74</v>
      </c>
      <c r="B45" s="13"/>
      <c r="C45" s="13"/>
      <c r="D45" s="13"/>
      <c r="E45" s="164"/>
      <c r="F45" s="4"/>
      <c r="G45" s="162"/>
      <c r="H45" s="164"/>
      <c r="I45" s="164"/>
    </row>
    <row r="46" spans="1:11">
      <c r="A46" s="20" t="s">
        <v>90</v>
      </c>
      <c r="B46" s="4"/>
      <c r="C46" s="176" t="e">
        <f>IF(F44&lt;'Drop Down Options'!C86,'Drop Down Options'!D86,IF(F44&lt;='Drop Down Options'!C87,'Drop Down Options'!D87,IF(F44&lt;='Drop Down Options'!C88,'Drop Down Options'!D88,IF(F44&lt;='Drop Down Options'!C89,'Drop Down Options'!D89,'Drop Down Options'!D90))))</f>
        <v>#N/A</v>
      </c>
      <c r="D46" s="18"/>
      <c r="E46" s="23"/>
      <c r="F46" s="4"/>
      <c r="G46" s="23"/>
      <c r="H46" s="4"/>
      <c r="I46" s="4"/>
    </row>
    <row r="47" spans="1:11">
      <c r="A47" s="20" t="s">
        <v>73</v>
      </c>
      <c r="B47" s="4"/>
      <c r="C47" s="177" t="e">
        <f>VLOOKUP(C46,'Drop Down Options'!H65:I69,2,FALSE)</f>
        <v>#N/A</v>
      </c>
      <c r="D47" s="18"/>
      <c r="E47" s="4"/>
      <c r="F47" s="4"/>
      <c r="G47" s="23"/>
      <c r="H47" s="4"/>
      <c r="I47" s="4"/>
    </row>
    <row r="48" spans="1:11">
      <c r="A48" s="20"/>
      <c r="B48" s="4"/>
      <c r="C48" s="4"/>
      <c r="E48" s="4"/>
      <c r="F48" s="4"/>
      <c r="G48" s="23"/>
      <c r="H48" s="4"/>
      <c r="I48" s="6"/>
    </row>
    <row r="49" spans="1:9">
      <c r="A49" s="6" t="s">
        <v>75</v>
      </c>
      <c r="B49" s="4"/>
      <c r="C49" s="4"/>
      <c r="E49" s="4"/>
      <c r="F49" s="4"/>
      <c r="G49" s="23"/>
      <c r="H49" s="4"/>
      <c r="I49" s="4"/>
    </row>
    <row r="50" spans="1:9" ht="15.75">
      <c r="A50" s="20" t="s">
        <v>272</v>
      </c>
      <c r="B50" s="4"/>
      <c r="C50" s="4"/>
      <c r="E50" s="171" t="str">
        <f>IF(C28="",IF(OR(C18="YES",C19="YES",C29="YES"),F86,F71),IF(C29="YES",F87,F85))</f>
        <v>Too few parameters to calculate</v>
      </c>
      <c r="F50" s="4"/>
      <c r="G50" s="23"/>
      <c r="H50" s="23"/>
      <c r="I50" s="4"/>
    </row>
    <row r="51" spans="1:9" ht="15.75">
      <c r="A51" s="20"/>
      <c r="B51" s="4"/>
      <c r="C51" s="4"/>
      <c r="E51" s="80"/>
      <c r="F51" s="4"/>
      <c r="G51" s="23"/>
      <c r="H51" s="23"/>
      <c r="I51" s="4"/>
    </row>
    <row r="52" spans="1:9" ht="15.75">
      <c r="A52" s="20" t="s">
        <v>459</v>
      </c>
      <c r="B52" s="4"/>
      <c r="C52" s="4"/>
      <c r="E52" s="80"/>
      <c r="F52" s="4"/>
      <c r="G52" s="23"/>
      <c r="H52" s="23"/>
      <c r="I52" s="4"/>
    </row>
    <row r="53" spans="1:9" ht="15.75">
      <c r="A53" s="20" t="s">
        <v>273</v>
      </c>
      <c r="B53" s="4"/>
      <c r="C53" s="4"/>
      <c r="E53" s="80"/>
      <c r="F53" s="4"/>
      <c r="G53" s="23"/>
      <c r="H53" s="23"/>
      <c r="I53" s="4"/>
    </row>
    <row r="54" spans="1:9" ht="15.75">
      <c r="A54" s="20" t="s">
        <v>458</v>
      </c>
      <c r="B54" s="4"/>
      <c r="C54" s="4"/>
      <c r="E54" s="80"/>
      <c r="F54" s="4"/>
      <c r="G54" s="4"/>
      <c r="H54" s="23"/>
      <c r="I54" s="4"/>
    </row>
    <row r="55" spans="1:9" ht="15.75">
      <c r="A55" s="4"/>
      <c r="B55" s="4"/>
      <c r="C55" s="4"/>
      <c r="E55" s="53"/>
      <c r="F55" s="5"/>
      <c r="G55" s="4"/>
      <c r="H55" s="23"/>
      <c r="I55" s="23"/>
    </row>
    <row r="56" spans="1:9" hidden="1">
      <c r="A56" s="79" t="s">
        <v>271</v>
      </c>
      <c r="B56" s="4"/>
      <c r="C56" s="4"/>
      <c r="E56" s="5"/>
      <c r="F56" s="5"/>
      <c r="G56" s="4"/>
      <c r="H56" s="23"/>
      <c r="I56" s="23"/>
    </row>
    <row r="57" spans="1:9" hidden="1">
      <c r="A57" s="67" t="s">
        <v>206</v>
      </c>
      <c r="B57" s="59" t="s">
        <v>207</v>
      </c>
      <c r="C57" s="59" t="s">
        <v>208</v>
      </c>
      <c r="E57" s="59" t="s">
        <v>209</v>
      </c>
      <c r="F57" s="5"/>
      <c r="G57" s="4"/>
      <c r="H57" s="23"/>
      <c r="I57" s="23"/>
    </row>
    <row r="58" spans="1:9" hidden="1">
      <c r="A58" s="67" t="s">
        <v>211</v>
      </c>
      <c r="B58" s="65" t="s">
        <v>199</v>
      </c>
      <c r="C58" s="65" t="s">
        <v>200</v>
      </c>
      <c r="E58" s="65" t="str">
        <f>'1. Pre-Restoration Likelihood'!L146</f>
        <v/>
      </c>
      <c r="F58" s="5"/>
      <c r="G58" s="4"/>
      <c r="H58" s="23"/>
      <c r="I58" s="23"/>
    </row>
    <row r="59" spans="1:9" hidden="1">
      <c r="A59" s="73" t="s">
        <v>212</v>
      </c>
      <c r="B59" s="66" t="s">
        <v>201</v>
      </c>
      <c r="C59" s="65" t="s">
        <v>202</v>
      </c>
      <c r="E59" s="65">
        <f>'1. Pre-Restoration Likelihood'!L147</f>
        <v>35</v>
      </c>
      <c r="F59" s="5"/>
      <c r="G59" s="4"/>
      <c r="H59" s="4"/>
      <c r="I59" s="4"/>
    </row>
    <row r="60" spans="1:9" hidden="1">
      <c r="A60" s="73" t="s">
        <v>213</v>
      </c>
      <c r="B60" s="66" t="s">
        <v>203</v>
      </c>
      <c r="C60" s="65" t="s">
        <v>204</v>
      </c>
      <c r="E60" s="65">
        <f>'1. Pre-Restoration Likelihood'!L148</f>
        <v>10.5</v>
      </c>
      <c r="F60" s="5"/>
      <c r="G60" s="4"/>
      <c r="H60" s="4"/>
      <c r="I60" s="4"/>
    </row>
    <row r="61" spans="1:9" hidden="1">
      <c r="A61" s="73" t="s">
        <v>214</v>
      </c>
      <c r="B61" s="66" t="s">
        <v>215</v>
      </c>
      <c r="C61" s="65" t="s">
        <v>204</v>
      </c>
      <c r="E61" s="65">
        <f>'1. Pre-Restoration Likelihood'!L149</f>
        <v>0.6899999999999995</v>
      </c>
      <c r="F61" s="5"/>
      <c r="G61" s="4"/>
      <c r="H61" s="4"/>
      <c r="I61" s="4"/>
    </row>
    <row r="62" spans="1:9" hidden="1">
      <c r="A62" s="67" t="s">
        <v>216</v>
      </c>
      <c r="B62" s="66" t="s">
        <v>217</v>
      </c>
      <c r="C62" s="65" t="s">
        <v>204</v>
      </c>
      <c r="E62" s="65">
        <f>'1. Pre-Restoration Likelihood'!L150</f>
        <v>9.81</v>
      </c>
      <c r="F62" s="5"/>
      <c r="G62" s="4"/>
      <c r="H62" s="4"/>
      <c r="I62" s="4"/>
    </row>
    <row r="63" spans="1:9" hidden="1">
      <c r="A63" s="67" t="s">
        <v>218</v>
      </c>
      <c r="B63" s="65" t="s">
        <v>219</v>
      </c>
      <c r="C63" s="65" t="s">
        <v>220</v>
      </c>
      <c r="E63" s="65">
        <f>'1. Pre-Restoration Likelihood'!L151</f>
        <v>1</v>
      </c>
      <c r="F63" s="5"/>
      <c r="G63" s="4"/>
      <c r="H63" s="4"/>
      <c r="I63" s="4"/>
    </row>
    <row r="64" spans="1:9" hidden="1">
      <c r="A64" s="67" t="s">
        <v>221</v>
      </c>
      <c r="B64" s="65" t="s">
        <v>222</v>
      </c>
      <c r="C64" s="65" t="s">
        <v>220</v>
      </c>
      <c r="E64" s="65">
        <f>'1. Pre-Restoration Likelihood'!L152</f>
        <v>500</v>
      </c>
      <c r="F64" s="5"/>
      <c r="G64" s="4"/>
      <c r="H64" s="4"/>
      <c r="I64" s="4"/>
    </row>
    <row r="65" spans="1:9" hidden="1">
      <c r="A65" s="67" t="s">
        <v>223</v>
      </c>
      <c r="B65" s="65" t="s">
        <v>224</v>
      </c>
      <c r="C65" s="65" t="s">
        <v>220</v>
      </c>
      <c r="E65" s="65">
        <f>'1. Pre-Restoration Likelihood'!L153</f>
        <v>100</v>
      </c>
      <c r="F65" s="5"/>
      <c r="G65" s="4"/>
      <c r="H65" s="4"/>
      <c r="I65" s="4"/>
    </row>
    <row r="66" spans="1:9" hidden="1">
      <c r="A66" s="67" t="s">
        <v>225</v>
      </c>
      <c r="B66" s="58" t="s">
        <v>226</v>
      </c>
      <c r="C66" s="58" t="s">
        <v>220</v>
      </c>
      <c r="E66" s="65" t="e">
        <f>'1. Pre-Restoration Likelihood'!L154</f>
        <v>#N/A</v>
      </c>
      <c r="F66" s="5"/>
      <c r="G66" s="4"/>
      <c r="H66" s="4"/>
      <c r="I66" s="4"/>
    </row>
    <row r="67" spans="1:9" hidden="1">
      <c r="A67" s="73" t="s">
        <v>231</v>
      </c>
      <c r="B67" s="68" t="s">
        <v>230</v>
      </c>
      <c r="C67" s="58" t="s">
        <v>202</v>
      </c>
      <c r="E67" s="65" t="e">
        <f>'1. Pre-Restoration Likelihood'!L155</f>
        <v>#N/A</v>
      </c>
      <c r="F67" s="5"/>
      <c r="G67" s="4"/>
      <c r="H67" s="4"/>
      <c r="I67" s="4"/>
    </row>
    <row r="68" spans="1:9" hidden="1">
      <c r="A68" s="73" t="s">
        <v>232</v>
      </c>
      <c r="B68" s="58" t="s">
        <v>234</v>
      </c>
      <c r="C68" s="58" t="s">
        <v>202</v>
      </c>
      <c r="E68" s="65" t="e">
        <f>'1. Pre-Restoration Likelihood'!L156</f>
        <v>#N/A</v>
      </c>
      <c r="F68" s="5"/>
      <c r="G68" s="4"/>
      <c r="H68" s="4"/>
      <c r="I68" s="4"/>
    </row>
    <row r="69" spans="1:9" hidden="1">
      <c r="A69" s="67" t="s">
        <v>233</v>
      </c>
      <c r="B69" s="58" t="s">
        <v>235</v>
      </c>
      <c r="C69" s="58" t="s">
        <v>202</v>
      </c>
      <c r="E69" s="65" t="e">
        <f>'1. Pre-Restoration Likelihood'!L157</f>
        <v>#DIV/0!</v>
      </c>
      <c r="F69" s="5"/>
      <c r="G69" s="4"/>
      <c r="H69" s="4"/>
      <c r="I69" s="4"/>
    </row>
    <row r="70" spans="1:9" hidden="1">
      <c r="A70" s="67" t="s">
        <v>236</v>
      </c>
      <c r="B70" s="68" t="s">
        <v>237</v>
      </c>
      <c r="C70" s="58" t="s">
        <v>202</v>
      </c>
      <c r="E70" s="65">
        <f>'1. Pre-Restoration Likelihood'!L158</f>
        <v>0</v>
      </c>
      <c r="F70" s="5"/>
      <c r="G70" s="4"/>
      <c r="H70" s="4"/>
      <c r="I70" s="4"/>
    </row>
    <row r="71" spans="1:9" hidden="1">
      <c r="A71" s="67" t="s">
        <v>265</v>
      </c>
      <c r="B71" s="58" t="s">
        <v>240</v>
      </c>
      <c r="C71" s="58" t="s">
        <v>210</v>
      </c>
      <c r="E71" s="72" t="e">
        <f>((E58+(E60-E63*E62)*E66*COS(RADIANS(E70))*COS(RADIANS(E70))*TAN(RADIANS(E59)))*E64*E65)/(E60*E66*SIN(RADIANS(E70))*COS(RADIANS(E70))*E64*E65)</f>
        <v>#VALUE!</v>
      </c>
      <c r="F71" s="72" t="str">
        <f>IF(ISERROR(E71),"Too few parameters to calculate",E71)</f>
        <v>Too few parameters to calculate</v>
      </c>
      <c r="G71" s="4"/>
      <c r="H71" s="4"/>
      <c r="I71" s="4"/>
    </row>
    <row r="72" spans="1:9" hidden="1">
      <c r="A72" s="4"/>
      <c r="B72" s="4"/>
      <c r="C72" s="4"/>
      <c r="E72" s="4"/>
      <c r="F72" s="5"/>
      <c r="G72" s="4"/>
      <c r="H72" s="4"/>
      <c r="I72" s="4"/>
    </row>
    <row r="73" spans="1:9" hidden="1">
      <c r="A73" s="60" t="s">
        <v>241</v>
      </c>
      <c r="B73" s="61" t="s">
        <v>242</v>
      </c>
      <c r="C73" s="61" t="s">
        <v>210</v>
      </c>
      <c r="E73" s="72">
        <f>TAN(RADIANS(45+E59/2))^2</f>
        <v>3.6901723321426658</v>
      </c>
      <c r="F73" s="5"/>
      <c r="G73" s="4"/>
      <c r="H73" s="4"/>
      <c r="I73" s="4"/>
    </row>
    <row r="74" spans="1:9" hidden="1">
      <c r="A74" s="60" t="s">
        <v>243</v>
      </c>
      <c r="B74" s="61" t="s">
        <v>244</v>
      </c>
      <c r="C74" s="61" t="s">
        <v>220</v>
      </c>
      <c r="E74" s="61">
        <f>'1. Pre-Restoration Likelihood'!L162</f>
        <v>0.5</v>
      </c>
      <c r="F74" s="5"/>
      <c r="G74" s="4"/>
      <c r="H74" s="4"/>
      <c r="I74" s="4"/>
    </row>
    <row r="75" spans="1:9" hidden="1">
      <c r="A75" s="60" t="s">
        <v>245</v>
      </c>
      <c r="B75" s="61" t="s">
        <v>246</v>
      </c>
      <c r="C75" s="61" t="s">
        <v>220</v>
      </c>
      <c r="E75" s="61">
        <f>'1. Pre-Restoration Likelihood'!L163</f>
        <v>0.5</v>
      </c>
      <c r="F75" s="5"/>
      <c r="G75" s="4"/>
      <c r="H75" s="4"/>
      <c r="I75" s="4"/>
    </row>
    <row r="76" spans="1:9" hidden="1">
      <c r="A76" s="62" t="s">
        <v>247</v>
      </c>
      <c r="B76" s="63" t="s">
        <v>248</v>
      </c>
      <c r="C76" s="63" t="s">
        <v>220</v>
      </c>
      <c r="E76" s="61">
        <f>'1. Pre-Restoration Likelihood'!L164</f>
        <v>1</v>
      </c>
      <c r="F76" s="5"/>
      <c r="G76" s="4"/>
      <c r="H76" s="4"/>
      <c r="I76" s="4"/>
    </row>
    <row r="77" spans="1:9" hidden="1">
      <c r="A77" s="60" t="s">
        <v>249</v>
      </c>
      <c r="B77" s="61" t="s">
        <v>250</v>
      </c>
      <c r="C77" s="61" t="s">
        <v>251</v>
      </c>
      <c r="E77" s="78">
        <f>'1. Pre-Restoration Likelihood'!L165</f>
        <v>0.44444444444444442</v>
      </c>
      <c r="F77" s="5"/>
      <c r="G77" s="4"/>
      <c r="H77" s="4"/>
      <c r="I77" s="4"/>
    </row>
    <row r="78" spans="1:9" hidden="1">
      <c r="A78" s="60" t="s">
        <v>252</v>
      </c>
      <c r="B78" s="61" t="s">
        <v>253</v>
      </c>
      <c r="C78" s="61" t="s">
        <v>220</v>
      </c>
      <c r="E78" s="61">
        <f>'1. Pre-Restoration Likelihood'!L166</f>
        <v>15</v>
      </c>
      <c r="F78" s="5"/>
      <c r="G78" s="4"/>
      <c r="H78" s="4"/>
      <c r="I78" s="4"/>
    </row>
    <row r="79" spans="1:9" hidden="1">
      <c r="A79" s="60" t="s">
        <v>254</v>
      </c>
      <c r="B79" s="64" t="s">
        <v>255</v>
      </c>
      <c r="C79" s="61" t="s">
        <v>220</v>
      </c>
      <c r="E79" s="61">
        <f>'1. Pre-Restoration Likelihood'!L167</f>
        <v>0.2</v>
      </c>
      <c r="F79" s="5"/>
      <c r="G79" s="4"/>
      <c r="H79" s="4"/>
      <c r="I79" s="4"/>
    </row>
    <row r="80" spans="1:9" hidden="1">
      <c r="A80" s="60" t="s">
        <v>256</v>
      </c>
      <c r="B80" s="64" t="s">
        <v>257</v>
      </c>
      <c r="C80" s="61" t="s">
        <v>204</v>
      </c>
      <c r="E80" s="74">
        <f>'1. Pre-Restoration Likelihood'!L168</f>
        <v>3.4335</v>
      </c>
      <c r="F80" s="5"/>
      <c r="G80" s="4"/>
      <c r="H80" s="4"/>
      <c r="I80" s="4"/>
    </row>
    <row r="81" spans="1:9" hidden="1">
      <c r="A81" s="60" t="s">
        <v>258</v>
      </c>
      <c r="B81" s="61" t="s">
        <v>259</v>
      </c>
      <c r="C81" s="61" t="s">
        <v>210</v>
      </c>
      <c r="E81" s="61">
        <f>'1. Pre-Restoration Likelihood'!L169</f>
        <v>0.5</v>
      </c>
      <c r="F81" s="5"/>
      <c r="G81" s="4"/>
      <c r="H81" s="4"/>
      <c r="I81" s="4"/>
    </row>
    <row r="82" spans="1:9" hidden="1">
      <c r="A82" s="75" t="s">
        <v>260</v>
      </c>
      <c r="B82" s="76" t="s">
        <v>261</v>
      </c>
      <c r="C82" s="76" t="s">
        <v>262</v>
      </c>
      <c r="E82" s="74">
        <f>'1. Pre-Restoration Likelihood'!L170</f>
        <v>2.4269981346226253</v>
      </c>
      <c r="F82" s="5"/>
      <c r="G82" s="4"/>
      <c r="H82" s="4"/>
      <c r="I82" s="4"/>
    </row>
    <row r="83" spans="1:9" hidden="1">
      <c r="A83" s="75" t="s">
        <v>263</v>
      </c>
      <c r="B83" s="76" t="s">
        <v>264</v>
      </c>
      <c r="C83" s="76" t="s">
        <v>200</v>
      </c>
      <c r="E83" s="74">
        <f>'1. Pre-Restoration Likelihood'!L171</f>
        <v>1.0786658376100555</v>
      </c>
      <c r="F83" s="5"/>
      <c r="G83" s="4"/>
      <c r="H83" s="4"/>
      <c r="I83" s="4"/>
    </row>
    <row r="84" spans="1:9" hidden="1">
      <c r="A84" s="67" t="s">
        <v>267</v>
      </c>
      <c r="B84" s="58" t="s">
        <v>240</v>
      </c>
      <c r="C84" s="58" t="s">
        <v>210</v>
      </c>
      <c r="E84" s="72" t="e">
        <f>IF(E66&lt;E76,((E58+E60*E66*COS(RADIANS(E70))*COS(RADIANS(E70))*TAN(RADIANS(E59)))*E64*E65)/((E60*E66*SIN(RADIANS(E70))*COS(RADIANS(E70))+E83)*E64*E65),((E58+(E60*E66-E63*E62*E66+E76*E62)*COS(RADIANS(E70))*COS(RADIANS(E70))*TAN(RADIANS(E59)))*E64*E65)/((E60*E66*SIN(RADIANS(E70))*COS(RADIANS(E70))+E83)*E64*E65))</f>
        <v>#N/A</v>
      </c>
      <c r="F84" s="72" t="str">
        <f>IF(ISERROR(E84),"Too few parameters to calculate",E84)</f>
        <v>Too few parameters to calculate</v>
      </c>
      <c r="G84" s="4"/>
      <c r="H84" s="4"/>
      <c r="I84" s="4"/>
    </row>
    <row r="85" spans="1:9" hidden="1">
      <c r="A85" s="67" t="s">
        <v>269</v>
      </c>
      <c r="B85" s="58" t="s">
        <v>240</v>
      </c>
      <c r="C85" s="58" t="s">
        <v>210</v>
      </c>
      <c r="E85" s="72" t="e">
        <f>IF(E66&lt;E76/2,((E58+E60*E66*COS(RADIANS(E70))*COS(RADIANS(E70))*TAN(RADIANS(E59)))*E64*E65)/((E60*E66*SIN(RADIANS(E70))*COS(RADIANS(E70))+E83)*E64*E65),((E58+(E60*E66-E63*E62*E66+E76/2*E62)*COS(RADIANS(E70))*COS(RADIANS(E70))*TAN(RADIANS(E59)))*E64*E65)/((E60*E66*SIN(RADIANS(E70))*COS(RADIANS(E70))+E83)*E64*E65))</f>
        <v>#N/A</v>
      </c>
      <c r="F85" s="72" t="str">
        <f>IF(ISERROR(E85),"Too few parameters to calculate",E85)</f>
        <v>Too few parameters to calculate</v>
      </c>
      <c r="G85" s="4"/>
      <c r="H85" s="4"/>
      <c r="I85" s="4"/>
    </row>
    <row r="86" spans="1:9" hidden="1">
      <c r="A86" s="67" t="s">
        <v>266</v>
      </c>
      <c r="B86" s="58" t="s">
        <v>240</v>
      </c>
      <c r="C86" s="58" t="s">
        <v>210</v>
      </c>
      <c r="E86" s="74" t="e">
        <f>(((E58+(E60-E63*E62)*E66*COS(RADIANS(E70))*COS(RADIANS(E70))*TAN(RADIANS(E59)))*E64*E65)+E60*E66*E73*E66*E65)/(E60*E66*SIN(RADIANS(E70))*COS(RADIANS(E70))*E64*E65)</f>
        <v>#VALUE!</v>
      </c>
      <c r="F86" s="72" t="str">
        <f>IF(ISERROR(E86),"Too few parameters to calculate",E86)</f>
        <v>Too few parameters to calculate</v>
      </c>
      <c r="G86" s="4"/>
      <c r="H86" s="4"/>
      <c r="I86" s="4"/>
    </row>
    <row r="87" spans="1:9" hidden="1">
      <c r="A87" s="67" t="s">
        <v>270</v>
      </c>
      <c r="B87" s="58" t="s">
        <v>240</v>
      </c>
      <c r="C87" s="58" t="s">
        <v>210</v>
      </c>
      <c r="E87" s="74" t="e">
        <f>IF(E66&lt;E76/2,(((E58+E60*E66*COS(RADIANS(E70))*COS(RADIANS(E70))*TAN(RADIANS(E59)))*E64*E65)+E60*E66*E73*E66*E65)/((E60*E66*SIN(RADIANS(E70))*COS(RADIANS(E70))+E83)*E64*E65),(((E58+(E60*E66-E63*E62*E66+E76/2*E62)*COS(RADIANS(E70))*COS(RADIANS(E70))*TAN(RADIANS(E59)))*E64*E65)+E60*E66*E73*E66*E65)/((E60*E66*SIN(RADIANS(E70))*COS(RADIANS(E70))+E83)*E64*E65))</f>
        <v>#N/A</v>
      </c>
      <c r="F87" s="72" t="str">
        <f>IF(ISERROR(E87),"Too few parameters to calculate",E87)</f>
        <v>Too few parameters to calculate</v>
      </c>
      <c r="G87" s="4"/>
      <c r="H87" s="4"/>
      <c r="I87" s="4"/>
    </row>
    <row r="88" spans="1:9" hidden="1">
      <c r="G88" s="4"/>
      <c r="H88" s="4"/>
      <c r="I88" s="4"/>
    </row>
    <row r="89" spans="1:9" s="4" customFormat="1" hidden="1">
      <c r="F89" s="5"/>
    </row>
    <row r="90" spans="1:9" s="4" customFormat="1" hidden="1">
      <c r="F90" s="5"/>
    </row>
    <row r="91" spans="1:9" s="4" customFormat="1" hidden="1">
      <c r="F91" s="5"/>
    </row>
    <row r="92" spans="1:9" s="4" customFormat="1" hidden="1">
      <c r="F92" s="5"/>
    </row>
    <row r="93" spans="1:9" s="4" customFormat="1" hidden="1">
      <c r="F93" s="5"/>
    </row>
    <row r="94" spans="1:9" s="4" customFormat="1" hidden="1">
      <c r="F94" s="5"/>
    </row>
    <row r="95" spans="1:9" s="4" customFormat="1" hidden="1">
      <c r="F95" s="5"/>
    </row>
    <row r="96" spans="1:9" s="4" customFormat="1" hidden="1">
      <c r="F96" s="5"/>
    </row>
    <row r="97" spans="6:6" s="4" customFormat="1" hidden="1">
      <c r="F97" s="5"/>
    </row>
    <row r="98" spans="6:6" s="4" customFormat="1" hidden="1">
      <c r="F98" s="5"/>
    </row>
    <row r="99" spans="6:6" s="4" customFormat="1" hidden="1">
      <c r="F99" s="5"/>
    </row>
    <row r="100" spans="6:6" s="4" customFormat="1" hidden="1">
      <c r="F100" s="5"/>
    </row>
    <row r="101" spans="6:6" s="4" customFormat="1" hidden="1">
      <c r="F101" s="5"/>
    </row>
    <row r="102" spans="6:6" s="4" customFormat="1" hidden="1">
      <c r="F102" s="5"/>
    </row>
    <row r="103" spans="6:6" s="4" customFormat="1" hidden="1">
      <c r="F103" s="5"/>
    </row>
    <row r="104" spans="6:6" s="4" customFormat="1" hidden="1">
      <c r="F104" s="5"/>
    </row>
    <row r="105" spans="6:6" s="4" customFormat="1" hidden="1">
      <c r="F105" s="5"/>
    </row>
    <row r="106" spans="6:6" s="4" customFormat="1" hidden="1">
      <c r="F106" s="5"/>
    </row>
    <row r="107" spans="6:6" s="4" customFormat="1" hidden="1">
      <c r="F107" s="5"/>
    </row>
    <row r="108" spans="6:6" s="4" customFormat="1" hidden="1">
      <c r="F108" s="5"/>
    </row>
    <row r="109" spans="6:6" s="4" customFormat="1" hidden="1">
      <c r="F109" s="5"/>
    </row>
    <row r="110" spans="6:6" s="4" customFormat="1" hidden="1">
      <c r="F110" s="5"/>
    </row>
    <row r="111" spans="6:6" s="4" customFormat="1" hidden="1">
      <c r="F111" s="5"/>
    </row>
    <row r="112" spans="6:6" s="4" customFormat="1" hidden="1">
      <c r="F112" s="5"/>
    </row>
    <row r="113" spans="6:6" s="4" customFormat="1" hidden="1">
      <c r="F113" s="5"/>
    </row>
    <row r="114" spans="6:6" s="4" customFormat="1" hidden="1">
      <c r="F114" s="5"/>
    </row>
    <row r="115" spans="6:6" s="4" customFormat="1">
      <c r="F115" s="5"/>
    </row>
    <row r="116" spans="6:6" s="4" customFormat="1">
      <c r="F116" s="5"/>
    </row>
    <row r="117" spans="6:6" s="4" customFormat="1">
      <c r="F117" s="5"/>
    </row>
    <row r="118" spans="6:6" s="4" customFormat="1">
      <c r="F118" s="5"/>
    </row>
    <row r="119" spans="6:6" s="4" customFormat="1">
      <c r="F119" s="5"/>
    </row>
    <row r="120" spans="6:6" s="4" customFormat="1">
      <c r="F120" s="5"/>
    </row>
    <row r="121" spans="6:6" s="4" customFormat="1">
      <c r="F121" s="5"/>
    </row>
    <row r="122" spans="6:6" s="4" customFormat="1">
      <c r="F122" s="5"/>
    </row>
    <row r="123" spans="6:6" s="4" customFormat="1">
      <c r="F123" s="5"/>
    </row>
    <row r="124" spans="6:6" s="4" customFormat="1">
      <c r="F124" s="5"/>
    </row>
    <row r="125" spans="6:6" s="4" customFormat="1">
      <c r="F125" s="5"/>
    </row>
    <row r="126" spans="6:6" s="4" customFormat="1">
      <c r="F126" s="5"/>
    </row>
    <row r="127" spans="6:6" s="4" customFormat="1">
      <c r="F127" s="5"/>
    </row>
    <row r="128" spans="6:6" s="4" customFormat="1">
      <c r="F128" s="5"/>
    </row>
    <row r="129" spans="6:6" s="4" customFormat="1">
      <c r="F129" s="5"/>
    </row>
    <row r="130" spans="6:6" s="4" customFormat="1">
      <c r="F130" s="5"/>
    </row>
    <row r="131" spans="6:6" s="4" customFormat="1">
      <c r="F131" s="5"/>
    </row>
    <row r="132" spans="6:6" s="4" customFormat="1">
      <c r="F132" s="5"/>
    </row>
    <row r="133" spans="6:6" s="4" customFormat="1">
      <c r="F133" s="5"/>
    </row>
    <row r="134" spans="6:6" s="4" customFormat="1">
      <c r="F134" s="5"/>
    </row>
    <row r="135" spans="6:6" s="4" customFormat="1">
      <c r="F135" s="5"/>
    </row>
    <row r="136" spans="6:6" s="4" customFormat="1">
      <c r="F136" s="5"/>
    </row>
    <row r="137" spans="6:6" s="4" customFormat="1">
      <c r="F137" s="5"/>
    </row>
    <row r="138" spans="6:6" s="4" customFormat="1">
      <c r="F138" s="5"/>
    </row>
    <row r="139" spans="6:6" s="4" customFormat="1">
      <c r="F139" s="5"/>
    </row>
    <row r="140" spans="6:6" s="4" customFormat="1">
      <c r="F140" s="5"/>
    </row>
    <row r="141" spans="6:6" s="4" customFormat="1">
      <c r="F141" s="5"/>
    </row>
    <row r="142" spans="6:6" s="4" customFormat="1">
      <c r="F142" s="5"/>
    </row>
    <row r="143" spans="6:6" s="4" customFormat="1">
      <c r="F143" s="5"/>
    </row>
    <row r="144" spans="6:6" s="4" customFormat="1">
      <c r="F144" s="5"/>
    </row>
    <row r="145" spans="6:6" s="4" customFormat="1">
      <c r="F145" s="5"/>
    </row>
    <row r="146" spans="6:6" s="4" customFormat="1">
      <c r="F146" s="5"/>
    </row>
    <row r="147" spans="6:6" s="4" customFormat="1">
      <c r="F147" s="5"/>
    </row>
    <row r="148" spans="6:6" s="4" customFormat="1">
      <c r="F148" s="5"/>
    </row>
    <row r="149" spans="6:6" s="4" customFormat="1">
      <c r="F149" s="5"/>
    </row>
    <row r="150" spans="6:6" s="4" customFormat="1">
      <c r="F150" s="5"/>
    </row>
    <row r="151" spans="6:6" s="4" customFormat="1">
      <c r="F151" s="5"/>
    </row>
    <row r="152" spans="6:6" s="4" customFormat="1">
      <c r="F152" s="5"/>
    </row>
    <row r="153" spans="6:6" s="4" customFormat="1">
      <c r="F153" s="5"/>
    </row>
    <row r="154" spans="6:6" s="4" customFormat="1">
      <c r="F154" s="5"/>
    </row>
    <row r="155" spans="6:6" s="4" customFormat="1">
      <c r="F155" s="5"/>
    </row>
    <row r="156" spans="6:6" s="4" customFormat="1">
      <c r="F156" s="5"/>
    </row>
    <row r="157" spans="6:6" s="4" customFormat="1">
      <c r="F157" s="5"/>
    </row>
    <row r="158" spans="6:6" s="4" customFormat="1">
      <c r="F158" s="5"/>
    </row>
    <row r="159" spans="6:6" s="4" customFormat="1">
      <c r="F159" s="5"/>
    </row>
    <row r="160" spans="6:6" s="4" customFormat="1">
      <c r="F160" s="5"/>
    </row>
    <row r="161" spans="6:6" s="4" customFormat="1">
      <c r="F161" s="5"/>
    </row>
    <row r="162" spans="6:6" s="4" customFormat="1">
      <c r="F162" s="5"/>
    </row>
    <row r="163" spans="6:6" s="4" customFormat="1">
      <c r="F163" s="5"/>
    </row>
    <row r="164" spans="6:6" s="4" customFormat="1">
      <c r="F164" s="5"/>
    </row>
    <row r="165" spans="6:6" s="4" customFormat="1">
      <c r="F165" s="5"/>
    </row>
    <row r="166" spans="6:6" s="4" customFormat="1">
      <c r="F166" s="5"/>
    </row>
    <row r="167" spans="6:6" s="4" customFormat="1">
      <c r="F167" s="5"/>
    </row>
    <row r="168" spans="6:6" s="4" customFormat="1">
      <c r="F168" s="5"/>
    </row>
    <row r="169" spans="6:6" s="4" customFormat="1">
      <c r="F169" s="5"/>
    </row>
    <row r="170" spans="6:6" s="4" customFormat="1">
      <c r="F170" s="5"/>
    </row>
    <row r="171" spans="6:6" s="4" customFormat="1">
      <c r="F171" s="5"/>
    </row>
    <row r="172" spans="6:6" s="4" customFormat="1">
      <c r="F172" s="5"/>
    </row>
    <row r="173" spans="6:6" s="4" customFormat="1">
      <c r="F173" s="5"/>
    </row>
    <row r="174" spans="6:6" s="4" customFormat="1">
      <c r="F174" s="5"/>
    </row>
    <row r="175" spans="6:6" s="4" customFormat="1">
      <c r="F175" s="5"/>
    </row>
    <row r="176" spans="6:6" s="4" customFormat="1">
      <c r="F176" s="5"/>
    </row>
    <row r="177" spans="6:6" s="4" customFormat="1">
      <c r="F177" s="5"/>
    </row>
    <row r="178" spans="6:6" s="4" customFormat="1">
      <c r="F178" s="5"/>
    </row>
    <row r="179" spans="6:6" s="4" customFormat="1">
      <c r="F179" s="5"/>
    </row>
    <row r="180" spans="6:6" s="4" customFormat="1">
      <c r="F180" s="5"/>
    </row>
    <row r="181" spans="6:6" s="4" customFormat="1">
      <c r="F181" s="5"/>
    </row>
    <row r="182" spans="6:6" s="4" customFormat="1">
      <c r="F182" s="5"/>
    </row>
    <row r="183" spans="6:6" s="4" customFormat="1">
      <c r="F183" s="5"/>
    </row>
    <row r="184" spans="6:6" s="4" customFormat="1">
      <c r="F184" s="5"/>
    </row>
    <row r="185" spans="6:6" s="4" customFormat="1">
      <c r="F185" s="5"/>
    </row>
    <row r="186" spans="6:6" s="4" customFormat="1">
      <c r="F186" s="5"/>
    </row>
    <row r="187" spans="6:6" s="4" customFormat="1">
      <c r="F187" s="5"/>
    </row>
    <row r="188" spans="6:6" s="4" customFormat="1">
      <c r="F188" s="5"/>
    </row>
    <row r="189" spans="6:6" s="4" customFormat="1">
      <c r="F189" s="5"/>
    </row>
    <row r="190" spans="6:6" s="4" customFormat="1">
      <c r="F190" s="5"/>
    </row>
    <row r="191" spans="6:6" s="4" customFormat="1">
      <c r="F191" s="5"/>
    </row>
    <row r="192" spans="6:6" s="4" customFormat="1">
      <c r="F192" s="5"/>
    </row>
    <row r="193" spans="6:6" s="4" customFormat="1">
      <c r="F193" s="5"/>
    </row>
    <row r="194" spans="6:6" s="4" customFormat="1">
      <c r="F194" s="5"/>
    </row>
    <row r="195" spans="6:6" s="4" customFormat="1">
      <c r="F195" s="5"/>
    </row>
    <row r="196" spans="6:6" s="4" customFormat="1">
      <c r="F196" s="5"/>
    </row>
    <row r="197" spans="6:6" s="4" customFormat="1">
      <c r="F197" s="5"/>
    </row>
    <row r="198" spans="6:6" s="4" customFormat="1">
      <c r="F198" s="5"/>
    </row>
    <row r="199" spans="6:6" s="4" customFormat="1">
      <c r="F199" s="5"/>
    </row>
    <row r="200" spans="6:6" s="4" customFormat="1">
      <c r="F200" s="5"/>
    </row>
    <row r="201" spans="6:6" s="4" customFormat="1">
      <c r="F201" s="5"/>
    </row>
    <row r="202" spans="6:6" s="4" customFormat="1">
      <c r="F202" s="5"/>
    </row>
    <row r="203" spans="6:6" s="4" customFormat="1">
      <c r="F203" s="5"/>
    </row>
    <row r="204" spans="6:6" s="4" customFormat="1">
      <c r="F204" s="5"/>
    </row>
    <row r="205" spans="6:6" s="4" customFormat="1">
      <c r="F205" s="5"/>
    </row>
    <row r="206" spans="6:6" s="4" customFormat="1">
      <c r="F206" s="5"/>
    </row>
    <row r="207" spans="6:6" s="4" customFormat="1">
      <c r="F207" s="5"/>
    </row>
    <row r="208" spans="6:6" s="4" customFormat="1">
      <c r="F208" s="5"/>
    </row>
    <row r="209" spans="6:6" s="4" customFormat="1">
      <c r="F209" s="5"/>
    </row>
    <row r="210" spans="6:6" s="4" customFormat="1">
      <c r="F210" s="5"/>
    </row>
    <row r="211" spans="6:6" s="4" customFormat="1">
      <c r="F211" s="5"/>
    </row>
    <row r="212" spans="6:6" s="4" customFormat="1">
      <c r="F212" s="5"/>
    </row>
    <row r="213" spans="6:6" s="4" customFormat="1">
      <c r="F213" s="5"/>
    </row>
    <row r="214" spans="6:6" s="4" customFormat="1">
      <c r="F214" s="5"/>
    </row>
    <row r="215" spans="6:6" s="4" customFormat="1">
      <c r="F215" s="5"/>
    </row>
    <row r="216" spans="6:6" s="4" customFormat="1">
      <c r="F216" s="5"/>
    </row>
    <row r="217" spans="6:6" s="4" customFormat="1">
      <c r="F217" s="5"/>
    </row>
    <row r="218" spans="6:6" s="4" customFormat="1">
      <c r="F218" s="5"/>
    </row>
    <row r="219" spans="6:6" s="4" customFormat="1">
      <c r="F219" s="5"/>
    </row>
    <row r="220" spans="6:6" s="4" customFormat="1">
      <c r="F220" s="5"/>
    </row>
    <row r="221" spans="6:6" s="4" customFormat="1">
      <c r="F221" s="5"/>
    </row>
    <row r="222" spans="6:6" s="4" customFormat="1">
      <c r="F222" s="5"/>
    </row>
    <row r="223" spans="6:6" s="4" customFormat="1">
      <c r="F223" s="5"/>
    </row>
    <row r="224" spans="6:6" s="4" customFormat="1">
      <c r="F224" s="5"/>
    </row>
    <row r="225" spans="6:6" s="4" customFormat="1">
      <c r="F225" s="5"/>
    </row>
    <row r="226" spans="6:6" s="4" customFormat="1">
      <c r="F226" s="5"/>
    </row>
    <row r="227" spans="6:6" s="4" customFormat="1">
      <c r="F227" s="5"/>
    </row>
    <row r="228" spans="6:6" s="4" customFormat="1">
      <c r="F228" s="5"/>
    </row>
    <row r="229" spans="6:6" s="4" customFormat="1">
      <c r="F229" s="5"/>
    </row>
    <row r="230" spans="6:6" s="4" customFormat="1">
      <c r="F230" s="5"/>
    </row>
    <row r="231" spans="6:6" s="4" customFormat="1">
      <c r="F231" s="5"/>
    </row>
    <row r="232" spans="6:6" s="4" customFormat="1">
      <c r="F232" s="5"/>
    </row>
    <row r="233" spans="6:6" s="4" customFormat="1">
      <c r="F233" s="5"/>
    </row>
    <row r="234" spans="6:6" s="4" customFormat="1">
      <c r="F234" s="5"/>
    </row>
    <row r="235" spans="6:6" s="4" customFormat="1">
      <c r="F235" s="5"/>
    </row>
    <row r="236" spans="6:6" s="4" customFormat="1">
      <c r="F236" s="5"/>
    </row>
    <row r="237" spans="6:6" s="4" customFormat="1">
      <c r="F237" s="5"/>
    </row>
    <row r="238" spans="6:6" s="4" customFormat="1">
      <c r="F238" s="5"/>
    </row>
    <row r="239" spans="6:6" s="4" customFormat="1">
      <c r="F239" s="5"/>
    </row>
    <row r="240" spans="6:6" s="4" customFormat="1">
      <c r="F240" s="5"/>
    </row>
    <row r="241" spans="6:6" s="4" customFormat="1">
      <c r="F241" s="5"/>
    </row>
    <row r="242" spans="6:6" s="4" customFormat="1">
      <c r="F242" s="5"/>
    </row>
    <row r="243" spans="6:6" s="4" customFormat="1">
      <c r="F243" s="5"/>
    </row>
    <row r="244" spans="6:6" s="4" customFormat="1">
      <c r="F244" s="5"/>
    </row>
    <row r="245" spans="6:6" s="4" customFormat="1">
      <c r="F245" s="5"/>
    </row>
    <row r="246" spans="6:6" s="4" customFormat="1">
      <c r="F246" s="5"/>
    </row>
    <row r="247" spans="6:6" s="4" customFormat="1">
      <c r="F247" s="5"/>
    </row>
    <row r="248" spans="6:6" s="4" customFormat="1">
      <c r="F248" s="5"/>
    </row>
    <row r="249" spans="6:6" s="4" customFormat="1">
      <c r="F249" s="5"/>
    </row>
    <row r="250" spans="6:6" s="4" customFormat="1">
      <c r="F250" s="5"/>
    </row>
    <row r="251" spans="6:6" s="4" customFormat="1">
      <c r="F251" s="5"/>
    </row>
    <row r="252" spans="6:6" s="4" customFormat="1">
      <c r="F252" s="5"/>
    </row>
    <row r="253" spans="6:6" s="4" customFormat="1">
      <c r="F253" s="5"/>
    </row>
    <row r="254" spans="6:6" s="4" customFormat="1">
      <c r="F254" s="5"/>
    </row>
    <row r="255" spans="6:6" s="4" customFormat="1">
      <c r="F255" s="5"/>
    </row>
    <row r="256" spans="6:6" s="4" customFormat="1">
      <c r="F256" s="5"/>
    </row>
    <row r="257" spans="6:6" s="4" customFormat="1">
      <c r="F257" s="5"/>
    </row>
    <row r="258" spans="6:6" s="4" customFormat="1">
      <c r="F258" s="5"/>
    </row>
    <row r="259" spans="6:6" s="4" customFormat="1">
      <c r="F259" s="5"/>
    </row>
    <row r="260" spans="6:6" s="4" customFormat="1">
      <c r="F260" s="5"/>
    </row>
    <row r="261" spans="6:6" s="4" customFormat="1">
      <c r="F261" s="5"/>
    </row>
    <row r="262" spans="6:6" s="4" customFormat="1">
      <c r="F262" s="5"/>
    </row>
    <row r="263" spans="6:6" s="4" customFormat="1">
      <c r="F263" s="5"/>
    </row>
    <row r="264" spans="6:6" s="4" customFormat="1">
      <c r="F264" s="5"/>
    </row>
    <row r="265" spans="6:6" s="4" customFormat="1">
      <c r="F265" s="5"/>
    </row>
    <row r="266" spans="6:6" s="4" customFormat="1">
      <c r="F266" s="5"/>
    </row>
    <row r="267" spans="6:6" s="4" customFormat="1">
      <c r="F267" s="5"/>
    </row>
    <row r="268" spans="6:6" s="4" customFormat="1">
      <c r="F268" s="5"/>
    </row>
    <row r="269" spans="6:6" s="4" customFormat="1">
      <c r="F269" s="5"/>
    </row>
    <row r="270" spans="6:6" s="4" customFormat="1">
      <c r="F270" s="5"/>
    </row>
    <row r="271" spans="6:6" s="4" customFormat="1">
      <c r="F271" s="5"/>
    </row>
    <row r="272" spans="6:6" s="4" customFormat="1">
      <c r="F272" s="5"/>
    </row>
    <row r="273" spans="6:6" s="4" customFormat="1">
      <c r="F273" s="5"/>
    </row>
    <row r="274" spans="6:6" s="4" customFormat="1">
      <c r="F274" s="5"/>
    </row>
    <row r="275" spans="6:6" s="4" customFormat="1">
      <c r="F275" s="5"/>
    </row>
    <row r="276" spans="6:6" s="4" customFormat="1">
      <c r="F276" s="5"/>
    </row>
    <row r="277" spans="6:6" s="4" customFormat="1">
      <c r="F277" s="5"/>
    </row>
    <row r="278" spans="6:6" s="4" customFormat="1">
      <c r="F278" s="5"/>
    </row>
    <row r="279" spans="6:6" s="4" customFormat="1">
      <c r="F279" s="5"/>
    </row>
    <row r="280" spans="6:6" s="4" customFormat="1">
      <c r="F280" s="5"/>
    </row>
    <row r="281" spans="6:6" s="4" customFormat="1">
      <c r="F281" s="5"/>
    </row>
    <row r="282" spans="6:6" s="4" customFormat="1">
      <c r="F282" s="5"/>
    </row>
    <row r="283" spans="6:6" s="4" customFormat="1">
      <c r="F283" s="5"/>
    </row>
    <row r="284" spans="6:6" s="4" customFormat="1">
      <c r="F284" s="5"/>
    </row>
    <row r="285" spans="6:6" s="4" customFormat="1">
      <c r="F285" s="5"/>
    </row>
    <row r="286" spans="6:6" s="4" customFormat="1">
      <c r="F286" s="5"/>
    </row>
    <row r="287" spans="6:6" s="4" customFormat="1">
      <c r="F287" s="5"/>
    </row>
    <row r="288" spans="6:6" s="4" customFormat="1">
      <c r="F288" s="5"/>
    </row>
    <row r="289" spans="6:6" s="4" customFormat="1">
      <c r="F289" s="5"/>
    </row>
    <row r="290" spans="6:6" s="4" customFormat="1">
      <c r="F290" s="5"/>
    </row>
    <row r="291" spans="6:6" s="4" customFormat="1">
      <c r="F291" s="5"/>
    </row>
    <row r="292" spans="6:6" s="4" customFormat="1">
      <c r="F292" s="5"/>
    </row>
    <row r="293" spans="6:6" s="4" customFormat="1">
      <c r="F293" s="5"/>
    </row>
    <row r="294" spans="6:6" s="4" customFormat="1">
      <c r="F294" s="5"/>
    </row>
    <row r="295" spans="6:6" s="4" customFormat="1">
      <c r="F295" s="5"/>
    </row>
    <row r="296" spans="6:6" s="4" customFormat="1">
      <c r="F296" s="5"/>
    </row>
    <row r="297" spans="6:6" s="4" customFormat="1">
      <c r="F297" s="5"/>
    </row>
    <row r="298" spans="6:6" s="4" customFormat="1">
      <c r="F298" s="5"/>
    </row>
    <row r="299" spans="6:6" s="4" customFormat="1">
      <c r="F299" s="5"/>
    </row>
    <row r="300" spans="6:6" s="4" customFormat="1">
      <c r="F300" s="5"/>
    </row>
    <row r="301" spans="6:6" s="4" customFormat="1">
      <c r="F301" s="5"/>
    </row>
    <row r="302" spans="6:6" s="4" customFormat="1">
      <c r="F302" s="5"/>
    </row>
    <row r="303" spans="6:6" s="4" customFormat="1">
      <c r="F303" s="5"/>
    </row>
    <row r="304" spans="6:6" s="4" customFormat="1">
      <c r="F304" s="5"/>
    </row>
    <row r="305" spans="6:6" s="4" customFormat="1">
      <c r="F305" s="5"/>
    </row>
    <row r="306" spans="6:6" s="4" customFormat="1">
      <c r="F306" s="5"/>
    </row>
    <row r="307" spans="6:6" s="4" customFormat="1">
      <c r="F307" s="5"/>
    </row>
    <row r="308" spans="6:6" s="4" customFormat="1">
      <c r="F308" s="5"/>
    </row>
    <row r="309" spans="6:6" s="4" customFormat="1">
      <c r="F309" s="5"/>
    </row>
    <row r="310" spans="6:6" s="4" customFormat="1">
      <c r="F310" s="5"/>
    </row>
    <row r="311" spans="6:6" s="4" customFormat="1">
      <c r="F311" s="5"/>
    </row>
    <row r="312" spans="6:6" s="4" customFormat="1">
      <c r="F312" s="5"/>
    </row>
    <row r="313" spans="6:6" s="4" customFormat="1">
      <c r="F313" s="5"/>
    </row>
    <row r="314" spans="6:6" s="4" customFormat="1">
      <c r="F314" s="5"/>
    </row>
    <row r="315" spans="6:6" s="4" customFormat="1">
      <c r="F315" s="5"/>
    </row>
    <row r="316" spans="6:6" s="4" customFormat="1">
      <c r="F316" s="5"/>
    </row>
    <row r="317" spans="6:6" s="4" customFormat="1">
      <c r="F317" s="5"/>
    </row>
    <row r="318" spans="6:6" s="4" customFormat="1">
      <c r="F318" s="5"/>
    </row>
    <row r="319" spans="6:6" s="4" customFormat="1">
      <c r="F319" s="5"/>
    </row>
    <row r="320" spans="6:6" s="4" customFormat="1">
      <c r="F320" s="5"/>
    </row>
    <row r="321" spans="6:6" s="4" customFormat="1">
      <c r="F321" s="5"/>
    </row>
    <row r="322" spans="6:6" s="4" customFormat="1">
      <c r="F322" s="5"/>
    </row>
    <row r="323" spans="6:6" s="4" customFormat="1">
      <c r="F323" s="5"/>
    </row>
    <row r="324" spans="6:6" s="4" customFormat="1">
      <c r="F324" s="5"/>
    </row>
    <row r="325" spans="6:6" s="4" customFormat="1">
      <c r="F325" s="5"/>
    </row>
    <row r="326" spans="6:6" s="4" customFormat="1">
      <c r="F326" s="5"/>
    </row>
    <row r="327" spans="6:6" s="4" customFormat="1">
      <c r="F327" s="5"/>
    </row>
    <row r="328" spans="6:6" s="4" customFormat="1">
      <c r="F328" s="5"/>
    </row>
    <row r="329" spans="6:6" s="4" customFormat="1">
      <c r="F329" s="5"/>
    </row>
    <row r="330" spans="6:6" s="4" customFormat="1">
      <c r="F330" s="5"/>
    </row>
    <row r="331" spans="6:6" s="4" customFormat="1">
      <c r="F331" s="5"/>
    </row>
    <row r="332" spans="6:6" s="4" customFormat="1">
      <c r="F332" s="5"/>
    </row>
    <row r="333" spans="6:6" s="4" customFormat="1">
      <c r="F333" s="5"/>
    </row>
    <row r="334" spans="6:6" s="4" customFormat="1">
      <c r="F334" s="5"/>
    </row>
    <row r="335" spans="6:6" s="4" customFormat="1">
      <c r="F335" s="5"/>
    </row>
    <row r="336" spans="6:6" s="4" customFormat="1">
      <c r="F336" s="5"/>
    </row>
    <row r="337" spans="6:6" s="4" customFormat="1">
      <c r="F337" s="5"/>
    </row>
  </sheetData>
  <sheetProtection algorithmName="SHA-512" hashValue="1x5LIzaENMcuuYnjq9TAfEuS4Bi7TRh96zQPUY6Mh9Q6Q0+oQkd0gz8kGjULOCHJcRVjNctFk+rfpIHBfQ0yuA==" saltValue="C2RhK0HUReK2OOPJ3118TA==" spinCount="100000" sheet="1" objects="1" scenarios="1"/>
  <customSheetViews>
    <customSheetView guid="{29A0FFCF-8AE3-4D83-B2A0-5792604909C6}" hiddenRows="1" hiddenColumns="1">
      <selection activeCell="A2" sqref="A2"/>
      <pageMargins left="0.7" right="0.7" top="0.75" bottom="0.75" header="0.3" footer="0.3"/>
      <pageSetup paperSize="9" orientation="portrait" r:id="rId1"/>
    </customSheetView>
    <customSheetView guid="{F17311CF-9914-40DA-8951-266454DC12F5}" hiddenRows="1" hiddenColumns="1">
      <selection activeCell="A2" sqref="A2"/>
      <pageMargins left="0.7" right="0.7" top="0.75" bottom="0.75" header="0.3" footer="0.3"/>
      <pageSetup paperSize="9" orientation="portrait" r:id="rId2"/>
    </customSheetView>
    <customSheetView guid="{FC848FF0-660B-4750-8525-7139E9D1F87C}" hiddenRows="1" hiddenColumns="1">
      <selection activeCell="A2" sqref="A2"/>
      <pageMargins left="0.7" right="0.7" top="0.75" bottom="0.75" header="0.3" footer="0.3"/>
      <pageSetup paperSize="9" orientation="portrait" r:id="rId3"/>
    </customSheetView>
    <customSheetView guid="{F08D193B-2F97-40D9-A4DD-4A4E62D6CC62}" hiddenRows="1" hiddenColumns="1">
      <selection activeCell="A2" sqref="A2"/>
      <pageMargins left="0.7" right="0.7" top="0.75" bottom="0.75" header="0.3" footer="0.3"/>
      <pageSetup paperSize="9" orientation="portrait" r:id="rId4"/>
    </customSheetView>
    <customSheetView guid="{B7C3FE13-4183-40D1-BE36-A4B701770209}" hiddenRows="1" hiddenColumns="1">
      <selection activeCell="A2" sqref="A2"/>
      <pageMargins left="0.7" right="0.7" top="0.75" bottom="0.75" header="0.3" footer="0.3"/>
      <pageSetup paperSize="9" orientation="portrait" r:id="rId5"/>
    </customSheetView>
  </customSheetViews>
  <conditionalFormatting sqref="C46">
    <cfRule type="cellIs" dxfId="45" priority="5" operator="equal">
      <formula>"VERY HIGH"</formula>
    </cfRule>
    <cfRule type="cellIs" dxfId="44" priority="6" operator="equal">
      <formula>"HIGH"</formula>
    </cfRule>
    <cfRule type="cellIs" dxfId="43" priority="7" operator="equal">
      <formula>"MODERATE"</formula>
    </cfRule>
    <cfRule type="cellIs" dxfId="42" priority="8" operator="equal">
      <formula>"LOW"</formula>
    </cfRule>
    <cfRule type="cellIs" dxfId="41" priority="9" operator="equal">
      <formula>"VERY LOW"</formula>
    </cfRule>
  </conditionalFormatting>
  <conditionalFormatting sqref="E50">
    <cfRule type="cellIs" dxfId="40" priority="1" operator="greaterThan">
      <formula>2</formula>
    </cfRule>
    <cfRule type="cellIs" dxfId="39" priority="2" operator="between">
      <formula>1.4</formula>
      <formula>2</formula>
    </cfRule>
    <cfRule type="cellIs" dxfId="38" priority="3" operator="between">
      <formula>1</formula>
      <formula>1.4</formula>
    </cfRule>
    <cfRule type="cellIs" dxfId="37" priority="4" operator="lessThan">
      <formula>1</formula>
    </cfRule>
  </conditionalFormatting>
  <pageMargins left="0.7" right="0.7" top="0.75" bottom="0.75" header="0.3" footer="0.3"/>
  <pageSetup paperSize="9" orientation="portrait" r:id="rId6"/>
  <legacyDrawing r:id="rId7"/>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'Drop Down Options'!$K$6:$K$7</xm:f>
          </x14:formula1>
          <xm:sqref>C24 C30 C40:D40</xm:sqref>
        </x14:dataValidation>
        <x14:dataValidation type="list" allowBlank="1" showInputMessage="1" showErrorMessage="1" xr:uid="{00000000-0002-0000-0200-000001000000}">
          <x14:formula1>
            <xm:f>'Drop Down Options'!$K$20:$K$21</xm:f>
          </x14:formula1>
          <xm:sqref>C8 C35</xm:sqref>
        </x14:dataValidation>
        <x14:dataValidation type="list" allowBlank="1" showInputMessage="1" showErrorMessage="1" xr:uid="{00000000-0002-0000-0200-000002000000}">
          <x14:formula1>
            <xm:f>'Drop Down Options'!$K$40:$K$41</xm:f>
          </x14:formula1>
          <xm:sqref>C15</xm:sqref>
        </x14:dataValidation>
        <x14:dataValidation type="list" allowBlank="1" showInputMessage="1" showErrorMessage="1" xr:uid="{00000000-0002-0000-0200-000003000000}">
          <x14:formula1>
            <xm:f>'Drop Down Options'!$K$42:$K$43</xm:f>
          </x14:formula1>
          <xm:sqref>C16</xm:sqref>
        </x14:dataValidation>
        <x14:dataValidation type="list" allowBlank="1" showInputMessage="1" showErrorMessage="1" xr:uid="{00000000-0002-0000-0200-000004000000}">
          <x14:formula1>
            <xm:f>'Drop Down Options'!$K$44:$K$45</xm:f>
          </x14:formula1>
          <xm:sqref>C18</xm:sqref>
        </x14:dataValidation>
        <x14:dataValidation type="list" allowBlank="1" showInputMessage="1" showErrorMessage="1" xr:uid="{00000000-0002-0000-0200-000005000000}">
          <x14:formula1>
            <xm:f>'Drop Down Options'!$K$46:$K$47</xm:f>
          </x14:formula1>
          <xm:sqref>C19</xm:sqref>
        </x14:dataValidation>
        <x14:dataValidation type="list" allowBlank="1" showInputMessage="1" showErrorMessage="1" xr:uid="{00000000-0002-0000-0200-000006000000}">
          <x14:formula1>
            <xm:f>'Drop Down Options'!$K$48:$K$49</xm:f>
          </x14:formula1>
          <xm:sqref>C21:C23</xm:sqref>
        </x14:dataValidation>
        <x14:dataValidation type="list" allowBlank="1" showInputMessage="1" showErrorMessage="1" xr:uid="{00000000-0002-0000-0200-000007000000}">
          <x14:formula1>
            <xm:f>'Drop Down Options'!$K$50:$K$51</xm:f>
          </x14:formula1>
          <xm:sqref>C25</xm:sqref>
        </x14:dataValidation>
        <x14:dataValidation type="list" allowBlank="1" showInputMessage="1" showErrorMessage="1" xr:uid="{00000000-0002-0000-0200-000008000000}">
          <x14:formula1>
            <xm:f>'Drop Down Options'!$K$52:$K$53</xm:f>
          </x14:formula1>
          <xm:sqref>C28</xm:sqref>
        </x14:dataValidation>
        <x14:dataValidation type="list" allowBlank="1" showInputMessage="1" showErrorMessage="1" xr:uid="{00000000-0002-0000-0200-000009000000}">
          <x14:formula1>
            <xm:f>'Drop Down Options'!$K$54:$K$55</xm:f>
          </x14:formula1>
          <xm:sqref>C29</xm:sqref>
        </x14:dataValidation>
        <x14:dataValidation type="list" allowBlank="1" showInputMessage="1" showErrorMessage="1" xr:uid="{00000000-0002-0000-0200-00000A000000}">
          <x14:formula1>
            <xm:f>'Drop Down Options'!$K$56:$K$57</xm:f>
          </x14:formula1>
          <xm:sqref>C31</xm:sqref>
        </x14:dataValidation>
        <x14:dataValidation type="list" allowBlank="1" showInputMessage="1" showErrorMessage="1" xr:uid="{00000000-0002-0000-0200-00000B000000}">
          <x14:formula1>
            <xm:f>'Drop Down Options'!$K$58:$K$59</xm:f>
          </x14:formula1>
          <xm:sqref>C32</xm:sqref>
        </x14:dataValidation>
        <x14:dataValidation type="list" allowBlank="1" showInputMessage="1" showErrorMessage="1" xr:uid="{00000000-0002-0000-0200-00000C000000}">
          <x14:formula1>
            <xm:f>'Drop Down Options'!$K$61:$K$61</xm:f>
          </x14:formula1>
          <xm:sqref>C34</xm:sqref>
        </x14:dataValidation>
        <x14:dataValidation type="list" allowBlank="1" showInputMessage="1" showErrorMessage="1" xr:uid="{00000000-0002-0000-0200-00000D000000}">
          <x14:formula1>
            <xm:f>'Drop Down Options'!$K$60:$K$61</xm:f>
          </x14:formula1>
          <xm:sqref>C33</xm:sqref>
        </x14:dataValidation>
        <x14:dataValidation type="list" allowBlank="1" showInputMessage="1" showErrorMessage="1" xr:uid="{00000000-0002-0000-0200-00000E000000}">
          <x14:formula1>
            <xm:f>'Drop Down Options'!$K$25:$K$26</xm:f>
          </x14:formula1>
          <xm:sqref>C9 C36</xm:sqref>
        </x14:dataValidation>
        <x14:dataValidation type="list" allowBlank="1" showInputMessage="1" showErrorMessage="1" xr:uid="{00000000-0002-0000-0200-00000F000000}">
          <x14:formula1>
            <xm:f>'Drop Down Options'!$K$30:$K$31</xm:f>
          </x14:formula1>
          <xm:sqref>C10 C37</xm:sqref>
        </x14:dataValidation>
        <x14:dataValidation type="list" allowBlank="1" showInputMessage="1" showErrorMessage="1" xr:uid="{00000000-0002-0000-0200-000010000000}">
          <x14:formula1>
            <xm:f>'Drop Down Options'!$K$35:$K$36</xm:f>
          </x14:formula1>
          <xm:sqref>C11:C13 C38:C39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10"/>
  <sheetViews>
    <sheetView zoomScaleNormal="100" workbookViewId="0">
      <selection activeCell="A2" sqref="A2"/>
    </sheetView>
  </sheetViews>
  <sheetFormatPr defaultRowHeight="15"/>
  <cols>
    <col min="8" max="8" width="13.7109375" customWidth="1"/>
    <col min="9" max="9" width="14.7109375" bestFit="1" customWidth="1"/>
    <col min="10" max="10" width="13.7109375" style="2" customWidth="1"/>
    <col min="11" max="11" width="3.7109375" style="4" customWidth="1"/>
    <col min="12" max="12" width="12.7109375" style="2" hidden="1" customWidth="1"/>
    <col min="13" max="13" width="13.140625" style="2" hidden="1" customWidth="1"/>
    <col min="14" max="14" width="28" customWidth="1"/>
    <col min="15" max="18" width="17.85546875" customWidth="1"/>
    <col min="19" max="19" width="9.140625" style="4"/>
    <col min="20" max="20" width="31.28515625" style="4" bestFit="1" customWidth="1"/>
    <col min="21" max="21" width="9.140625" style="4"/>
    <col min="22" max="22" width="10.85546875" style="4" bestFit="1" customWidth="1"/>
    <col min="23" max="24" width="12.7109375" style="4" customWidth="1"/>
    <col min="25" max="29" width="9.140625" style="4"/>
  </cols>
  <sheetData>
    <row r="1" spans="1:20" ht="18.75">
      <c r="A1" s="3" t="s">
        <v>140</v>
      </c>
      <c r="B1" s="4"/>
      <c r="C1" s="4"/>
      <c r="D1" s="4"/>
      <c r="E1" s="4"/>
      <c r="F1" s="4"/>
      <c r="G1" s="4"/>
      <c r="H1" s="4"/>
      <c r="I1" s="4"/>
      <c r="J1" s="5"/>
      <c r="L1" s="22"/>
      <c r="M1" s="5"/>
      <c r="N1" s="4"/>
      <c r="O1" s="4"/>
      <c r="P1" s="4"/>
      <c r="Q1" s="4"/>
      <c r="R1" s="4"/>
    </row>
    <row r="2" spans="1:20" ht="15" customHeight="1">
      <c r="A2" s="4"/>
      <c r="B2" s="4"/>
      <c r="C2" s="4"/>
      <c r="D2" s="4"/>
      <c r="E2" s="4"/>
      <c r="F2" s="4"/>
      <c r="G2" s="4"/>
      <c r="H2" s="4"/>
      <c r="I2" s="4"/>
      <c r="J2" s="5"/>
      <c r="L2" s="5"/>
      <c r="M2" s="5"/>
      <c r="N2" s="4"/>
      <c r="O2" s="4"/>
      <c r="P2" s="4"/>
      <c r="Q2" s="4"/>
      <c r="R2" s="4"/>
    </row>
    <row r="3" spans="1:20">
      <c r="A3" s="7" t="s">
        <v>277</v>
      </c>
      <c r="B3" s="4"/>
      <c r="C3" s="4"/>
      <c r="D3" s="4"/>
      <c r="E3" s="4"/>
      <c r="F3" s="4"/>
      <c r="G3" s="4"/>
      <c r="H3" s="4"/>
      <c r="I3" s="4"/>
      <c r="J3" s="5"/>
      <c r="L3" s="22" t="s">
        <v>141</v>
      </c>
      <c r="M3" s="22" t="s">
        <v>141</v>
      </c>
      <c r="N3" s="4"/>
      <c r="O3" s="4"/>
      <c r="P3" s="4"/>
      <c r="Q3" s="4"/>
      <c r="R3" s="4"/>
    </row>
    <row r="4" spans="1:20" ht="15" customHeight="1">
      <c r="A4" s="4" t="s">
        <v>131</v>
      </c>
      <c r="B4" s="4"/>
      <c r="C4" s="4"/>
      <c r="D4" s="4"/>
      <c r="E4" s="4"/>
      <c r="F4" s="4"/>
      <c r="G4" s="4"/>
      <c r="H4" s="4"/>
      <c r="I4" s="4"/>
      <c r="J4" s="194"/>
      <c r="L4" s="5" t="s">
        <v>153</v>
      </c>
      <c r="M4" s="5" t="s">
        <v>154</v>
      </c>
      <c r="N4" s="58" t="str">
        <f>IF(J4="","Please answer question","")</f>
        <v>Please answer question</v>
      </c>
      <c r="O4" s="4"/>
      <c r="P4" s="4"/>
      <c r="Q4" s="4"/>
      <c r="R4" s="4"/>
    </row>
    <row r="5" spans="1:20">
      <c r="A5" s="4"/>
      <c r="B5" s="4"/>
      <c r="C5" s="4"/>
      <c r="D5" s="4"/>
      <c r="E5" s="4"/>
      <c r="F5" s="4"/>
      <c r="G5" s="4"/>
      <c r="H5" s="4"/>
      <c r="I5" s="4"/>
      <c r="J5" s="5"/>
      <c r="L5" s="5"/>
      <c r="M5" s="5"/>
      <c r="N5" s="4"/>
      <c r="O5" s="4"/>
      <c r="P5" s="4"/>
      <c r="Q5" s="4"/>
      <c r="R5" s="4"/>
      <c r="T5" s="6"/>
    </row>
    <row r="6" spans="1:20">
      <c r="A6" s="7" t="s">
        <v>319</v>
      </c>
      <c r="B6" s="4"/>
      <c r="C6" s="4"/>
      <c r="D6" s="4"/>
      <c r="E6" s="4"/>
      <c r="F6" s="4"/>
      <c r="G6" s="4"/>
      <c r="H6" s="4"/>
      <c r="I6" s="4"/>
      <c r="J6" s="128"/>
      <c r="L6" s="5"/>
      <c r="M6" s="5"/>
      <c r="N6" s="182" t="s">
        <v>157</v>
      </c>
      <c r="O6" s="8"/>
      <c r="P6" s="8"/>
      <c r="Q6" s="8"/>
      <c r="R6" s="8"/>
    </row>
    <row r="7" spans="1:20">
      <c r="A7" s="4" t="s">
        <v>389</v>
      </c>
      <c r="B7" s="4"/>
      <c r="C7" s="4"/>
      <c r="D7" s="4"/>
      <c r="E7" s="4"/>
      <c r="F7" s="4"/>
      <c r="G7" s="143"/>
      <c r="H7" s="143"/>
      <c r="I7" s="4"/>
      <c r="J7" s="194"/>
      <c r="L7" s="5" t="str">
        <f>IF(AND(OR(J7="Continuous",J7="Intermittent"),$J$4="YES"),VLOOKUP(J7,'Drop Down Options'!$Q$13:$R$14,2,FALSE),"")</f>
        <v/>
      </c>
      <c r="M7" s="5" t="e">
        <f>'2. Post-restoration Likelihood'!$C$46</f>
        <v>#N/A</v>
      </c>
      <c r="N7" s="183" t="str">
        <f>IF(J4="","Not applicable",IF(J4="NO","Not applicable",IF(J7="NO","Not applicable",IF(AND(M7="VERY LOW",L7="VERY LOW"),"NEGLIGIBLE",IF(AND(M7="VERY LOW",L7="LOW"),"NEGLIGIBLE",IF(AND(M7="VERY LOW",L7="MODERATE"),"NEGLIGIBLE",IF(AND(M7="VERY LOW",L7="HIGH"),"NEGLIGIBLE",IF(AND(M7="VERY LOW",L7="VERY HIGH"),"LOW",IF(AND(M7="LOW",L7="VERY LOW"),"NEGLIGIBLE",IF(AND(M7="LOW",L7="LOW"),"NEGLIGIBLE",IF(AND(M7="LOW",L7="MODERATE"),"LOW",IF(AND(M7="LOW",L7="HIGH"),"LOW",IF(AND(M7="LOW",L7="VERY HIGH"),"LOW",IF(AND(M7="MODERATE",L7="VERY LOW"),"NEGLIGIBLE",IF(AND(M7="MODERATE",L7="LOW"),"LOW",IF(AND(M7="MODERATE",L7="MODERATE"),"LOW",IF(AND(M7="MODERATE",L7="HIGH"),"MEDIUM",IF(AND(M7="MODERATE",L7="VERY HIGH"),"MEDIUM",IF(AND(M7="HIGH",L7="VERY LOW"),"NEGLIGIBLE",IF(AND(M7="HIGH",L7="LOW"),"LOW",IF(AND(M7="HIGH",L7="MODERATE"),"MEDIUM",IF(AND(M7="HIGH",L7="HIGH"),"MEDIUM",IF(AND(M7="HIGH",L7="VERY HIGH"),"HIGH",IF(AND(M7="VERY HIGH",L7="VERY LOW"),"LOW",IF(AND(M7="VERY HIGH",L7="LOW"),"LOW",IF(AND(M7="VERY HIGH",L7="MODERATE"),"MEDIUM",IF(AND(M7="VERY HIGH",L7="HIGH"),"HIGH",IF(AND(M7="VERY HIGH",L7="VERY HIGH"),"HIGH","Please answer question"))))))))))))))))))))))))))))</f>
        <v>Not applicable</v>
      </c>
      <c r="O7" s="5"/>
      <c r="P7" s="5"/>
      <c r="Q7" s="5"/>
      <c r="R7" s="5"/>
    </row>
    <row r="8" spans="1:20">
      <c r="A8" s="4" t="s">
        <v>390</v>
      </c>
      <c r="B8" s="4"/>
      <c r="C8" s="4"/>
      <c r="D8" s="4"/>
      <c r="E8" s="4"/>
      <c r="F8" s="4"/>
      <c r="G8" s="143"/>
      <c r="H8" s="143"/>
      <c r="I8" s="4"/>
      <c r="J8" s="194"/>
      <c r="L8" s="5" t="str">
        <f>IF(AND(J8="YES",$J$4="YES"),VLOOKUP(A8,'Drop Down Options'!$Q$12:$R$18,2,FALSE),"")</f>
        <v/>
      </c>
      <c r="M8" s="5" t="e">
        <f>'2. Post-restoration Likelihood'!$C$46</f>
        <v>#N/A</v>
      </c>
      <c r="N8" s="183" t="str">
        <f>IF(J4="","Not applicable",IF(J4="NO","Not applicable",IF(J8="NO","Not applicable",IF(AND(M8="VERY LOW",L8="VERY LOW"),"NEGLIGIBLE",IF(AND(M8="VERY LOW",L8="LOW"),"NEGLIGIBLE",IF(AND(M8="VERY LOW",L8="MODERATE"),"NEGLIGIBLE",IF(AND(M8="VERY LOW",L8="HIGH"),"NEGLIGIBLE",IF(AND(M8="VERY LOW",L8="VERY HIGH"),"LOW",IF(AND(M8="LOW",L8="VERY LOW"),"NEGLIGIBLE",IF(AND(M8="LOW",L8="LOW"),"NEGLIGIBLE",IF(AND(M8="LOW",L8="MODERATE"),"LOW",IF(AND(M8="LOW",L8="HIGH"),"LOW",IF(AND(M8="LOW",L8="VERY HIGH"),"LOW",IF(AND(M8="MODERATE",L8="VERY LOW"),"NEGLIGIBLE",IF(AND(M8="MODERATE",L8="LOW"),"LOW",IF(AND(M8="MODERATE",L8="MODERATE"),"LOW",IF(AND(M8="MODERATE",L8="HIGH"),"MEDIUM",IF(AND(M8="MODERATE",L8="VERY HIGH"),"MEDIUM",IF(AND(M8="HIGH",L8="VERY LOW"),"NEGLIGIBLE",IF(AND(M8="HIGH",L8="LOW"),"LOW",IF(AND(M8="HIGH",L8="MODERATE"),"MEDIUM",IF(AND(M8="HIGH",L8="HIGH"),"MEDIUM",IF(AND(M8="HIGH",L8="VERY HIGH"),"HIGH",IF(AND(M8="VERY HIGH",L8="VERY LOW"),"LOW",IF(AND(M8="VERY HIGH",L8="LOW"),"LOW",IF(AND(M8="VERY HIGH",L8="MODERATE"),"MEDIUM",IF(AND(M8="VERY HIGH",L8="HIGH"),"HIGH",IF(AND(M8="VERY HIGH",L8="VERY HIGH"),"HIGH","Please answer question"))))))))))))))))))))))))))))</f>
        <v>Not applicable</v>
      </c>
      <c r="O8" s="5"/>
      <c r="P8" s="5"/>
      <c r="Q8" s="5"/>
      <c r="R8" s="5"/>
    </row>
    <row r="9" spans="1:20">
      <c r="A9" s="4" t="s">
        <v>391</v>
      </c>
      <c r="B9" s="4"/>
      <c r="C9" s="4"/>
      <c r="D9" s="4"/>
      <c r="E9" s="4"/>
      <c r="F9" s="4"/>
      <c r="G9" s="143"/>
      <c r="H9" s="143"/>
      <c r="I9" s="4"/>
      <c r="J9" s="194"/>
      <c r="L9" s="5" t="str">
        <f>IF(AND(J9="YES",$J$4="YES"),"HIGH","")</f>
        <v/>
      </c>
      <c r="M9" s="5" t="e">
        <f>'2. Post-restoration Likelihood'!$C$46</f>
        <v>#N/A</v>
      </c>
      <c r="N9" s="183" t="str">
        <f>IF(J4="","Not applicable",IF(J4="No","Not applicable",IF(J9="YES","Go to next question", IF(J9="NO","Not applicable","Please answer question"))))</f>
        <v>Not applicable</v>
      </c>
      <c r="O9" s="2"/>
      <c r="P9" s="5"/>
      <c r="Q9" s="5"/>
      <c r="R9" s="5"/>
    </row>
    <row r="10" spans="1:20" ht="15" customHeight="1">
      <c r="A10" s="211" t="s">
        <v>396</v>
      </c>
      <c r="B10" s="211"/>
      <c r="C10" s="211"/>
      <c r="D10" s="211"/>
      <c r="E10" s="211"/>
      <c r="F10" s="211"/>
      <c r="G10" s="211"/>
      <c r="H10" s="211"/>
      <c r="I10" s="211"/>
      <c r="J10" s="194"/>
      <c r="L10" s="5" t="str">
        <f>IF(AND(J10="YES",J9="YES"),'Drop Down Options'!$R$18,IF(AND(J10="NO",J9="YES"),'Drop Down Options'!$R$19,""))</f>
        <v/>
      </c>
      <c r="M10" s="5" t="e">
        <f>'2. Post-restoration Likelihood'!$C$46</f>
        <v>#N/A</v>
      </c>
      <c r="N10" s="183" t="str">
        <f>IF(J4="","Not applicable",IF(J4="NO","Not applicable",IF(J9="","Not applicable",IF(J9="No","Not applicable",IF(J10="","Please answer question",IF(AND(M10="VERY LOW",L10="VERY LOW"),"NEGLIGIBLE",IF(AND(M10="VERY LOW",L10="LOW"),"NEGLIGIBLE",IF(AND(M10="VERY LOW",L10="MODERATE"),"NEGLIGIBLE",IF(AND(M10="VERY LOW",L10="HIGH"),"NEGLIGIBLE",IF(AND(M10="VERY LOW",L10="VERY HIGH"),"LOW",IF(AND(M10="LOW",L10="VERY LOW"),"NEGLIGIBLE",IF(AND(M10="LOW",L10="LOW"),"NEGLIGIBLE",IF(AND(M10="LOW",L10="MODERATE"),"LOW",IF(AND(M10="LOW",L10="HIGH"),"LOW",IF(AND(M10="LOW",L10="VERY HIGH"),"LOW",IF(AND(M10="MODERATE",L10="VERY LOW"),"NEGLIGIBLE",IF(AND(M10="MODERATE",L10="LOW"),"LOW",IF(AND(M10="MODERATE",L10="MODERATE"),"LOW",IF(AND(M10="MODERATE",L10="HIGH"),"MEDIUM",IF(AND(M10="MODERATE",L10="VERY HIGH"),"MEDIUM",IF(AND(M10="HIGH",L10="VERY LOW"),"NEGLIGIBLE",IF(AND(M10="HIGH",L10="LOW"),"LOW",IF(AND(M10="HIGH",L10="MODERATE"),"MEDIUM",IF(AND(M10="HIGH",L10="HIGH"),"MEDIUM",IF(AND(M10="HIGH",L10="VERY HIGH"),"HIGH",IF(AND(M10="VERY HIGH",L10="VERY LOW"),"LOW",IF(AND(M10="VERY HIGH",L10="LOW"),"LOW",IF(AND(M10="VERY HIGH",L10="MODERATE"),"MEDIUM",IF(AND(M10="VERY HIGH",L10="HIGH"),"HIGH",IF(AND(M10="VERY HIGH",L10="VERY HIGH"),"HIGH","Not applicable"))))))))))))))))))))))))))))))</f>
        <v>Not applicable</v>
      </c>
      <c r="O10" s="5"/>
      <c r="P10" s="5"/>
      <c r="Q10" s="5"/>
      <c r="R10" s="5"/>
    </row>
    <row r="11" spans="1:20">
      <c r="A11" s="211"/>
      <c r="B11" s="211"/>
      <c r="C11" s="211"/>
      <c r="D11" s="211"/>
      <c r="E11" s="211"/>
      <c r="F11" s="211"/>
      <c r="G11" s="211"/>
      <c r="H11" s="211"/>
      <c r="I11" s="211"/>
      <c r="L11" s="5"/>
      <c r="M11" s="5"/>
      <c r="N11" s="184"/>
      <c r="O11" s="5"/>
      <c r="P11" s="5"/>
      <c r="Q11" s="5"/>
      <c r="R11" s="5"/>
      <c r="T11" s="6"/>
    </row>
    <row r="12" spans="1:20">
      <c r="A12" s="4"/>
      <c r="B12" s="4"/>
      <c r="C12" s="4"/>
      <c r="D12" s="4"/>
      <c r="E12" s="4"/>
      <c r="F12" s="4"/>
      <c r="G12" s="4"/>
      <c r="H12" s="4"/>
      <c r="I12" s="4"/>
      <c r="J12" s="5"/>
      <c r="L12" s="5"/>
      <c r="M12" s="5"/>
      <c r="N12" s="184"/>
      <c r="O12" s="5"/>
      <c r="P12" s="5"/>
      <c r="Q12" s="5"/>
      <c r="R12" s="5"/>
    </row>
    <row r="13" spans="1:20">
      <c r="A13" s="7" t="s">
        <v>133</v>
      </c>
      <c r="B13" s="4"/>
      <c r="C13" s="4"/>
      <c r="D13" s="4"/>
      <c r="E13" s="4"/>
      <c r="F13" s="4"/>
      <c r="G13" s="4"/>
      <c r="H13" s="4"/>
      <c r="I13" s="4"/>
      <c r="J13" s="5"/>
      <c r="L13" s="5"/>
      <c r="M13" s="5"/>
      <c r="N13" s="184"/>
      <c r="O13" s="5"/>
      <c r="P13" s="5"/>
      <c r="Q13" s="5"/>
      <c r="R13" s="5"/>
    </row>
    <row r="14" spans="1:20">
      <c r="A14" s="212" t="s">
        <v>134</v>
      </c>
      <c r="B14" s="212"/>
      <c r="C14" s="212"/>
      <c r="D14" s="212"/>
      <c r="E14" s="212"/>
      <c r="F14" s="212"/>
      <c r="G14" s="212"/>
      <c r="H14" s="212"/>
      <c r="I14" s="213"/>
      <c r="J14" s="194"/>
      <c r="L14" s="5" t="str">
        <f>IF(J14="YES",VLOOKUP(A14,'Drop Down Options'!$Q$20:$R$21,2,FALSE),"")</f>
        <v/>
      </c>
      <c r="M14" s="5" t="e">
        <f>'2. Post-restoration Likelihood'!$C$46</f>
        <v>#N/A</v>
      </c>
      <c r="N14" s="183" t="str">
        <f>IF(J14="","Please answer question",IF(AND(M14="VERY LOW",L14="VERY LOW"),"NEGLIGIBLE",IF(AND(M14="VERY LOW",L14="LOW"),"NEGLIGIBLE",IF(AND(M14="VERY LOW",L14="MODERATE"),"NEGLIGIBLE",IF(AND(M14="VERY LOW",L14="HIGH"),"NEGLIGIBLE",IF(AND(M14="VERY LOW",L14="VERY HIGH"),"LOW",IF(AND(M14="LOW",L14="VERY LOW"),"NEGLIGIBLE",IF(AND(M14="LOW",L14="LOW"),"NEGLIGIBLE",IF(AND(M14="LOW",L14="MODERATE"),"LOW",IF(AND(M14="LOW",L14="HIGH"),"LOW",IF(AND(M14="LOW",L14="VERY HIGH"),"LOW",IF(AND(M14="MODERATE",L14="VERY LOW"),"NEGLIGIBLE",IF(AND(M14="MODERATE",L14="LOW"),"LOW",IF(AND(M14="MODERATE",L14="MODERATE"),"LOW",IF(AND(M14="MODERATE",L14="HIGH"),"MEDIUM",IF(AND(M14="MODERATE",L14="VERY HIGH"),"MEDIUM",IF(AND(M14="HIGH",L14="VERY LOW"),"NEGLIGIBLE",IF(AND(M14="HIGH",L14="LOW"),"LOW",IF(AND(M14="HIGH",L14="MODERATE"),"MEDIUM",IF(AND(M14="HIGH",L14="HIGH"),"MEDIUM",IF(AND(M14="HIGH",L14="VERY HIGH"),"HIGH",IF(AND(M14="VERY HIGH",L14="VERY LOW"),"LOW",IF(AND(M14="VERY HIGH",L14="LOW"),"LOW",IF(AND(M14="VERY HIGH",L14="MODERATE"),"MEDIUM",IF(AND(M14="VERY HIGH",L14="HIGH"),"HIGH",IF(AND(M14="VERY HIGH",L14="VERY HIGH"),"HIGH","Not applicable"))))))))))))))))))))))))))</f>
        <v>Please answer question</v>
      </c>
      <c r="O14" s="5"/>
      <c r="P14" s="5"/>
      <c r="Q14" s="5"/>
      <c r="R14" s="5"/>
    </row>
    <row r="15" spans="1:20" ht="15" customHeight="1">
      <c r="A15" s="212" t="s">
        <v>392</v>
      </c>
      <c r="B15" s="212"/>
      <c r="C15" s="212"/>
      <c r="D15" s="212"/>
      <c r="E15" s="212"/>
      <c r="F15" s="212"/>
      <c r="G15" s="212"/>
      <c r="H15" s="212"/>
      <c r="I15" s="213"/>
      <c r="J15" s="194"/>
      <c r="L15" s="5" t="str">
        <f>IF(J15="YES","HIGH","")</f>
        <v/>
      </c>
      <c r="M15" s="5" t="e">
        <f>'2. Post-restoration Likelihood'!$C$46</f>
        <v>#N/A</v>
      </c>
      <c r="N15" s="183" t="str">
        <f>IF(J15="YES","Go to next question",IF(J15="NO","Not applicable","Please answer question"))</f>
        <v>Please answer question</v>
      </c>
      <c r="O15" s="2"/>
      <c r="P15" s="5"/>
      <c r="Q15" s="5"/>
      <c r="R15" s="5"/>
    </row>
    <row r="16" spans="1:20">
      <c r="A16" s="214" t="s">
        <v>393</v>
      </c>
      <c r="B16" s="214"/>
      <c r="C16" s="214"/>
      <c r="D16" s="214"/>
      <c r="E16" s="214"/>
      <c r="F16" s="214"/>
      <c r="G16" s="214"/>
      <c r="H16" s="214"/>
      <c r="I16" s="214"/>
      <c r="J16" s="194"/>
      <c r="L16" s="5" t="str">
        <f>IF(AND(J16="YES",J15="YES"),'Drop Down Options'!$R$18,IF(AND(J16="NO",J15="YES"),'Drop Down Options'!$R$19,""))</f>
        <v/>
      </c>
      <c r="M16" s="5" t="e">
        <f>'2. Post-restoration Likelihood'!$C$46</f>
        <v>#N/A</v>
      </c>
      <c r="N16" s="183" t="str">
        <f>IF(J15="","Not applicable",IF(J15="No","Not applicable", IF(J16="","Please answer question",IF(AND(M16="VERY LOW",L16="VERY LOW"),"NEGLIGIBLE",IF(AND(M16="VERY LOW",L16="LOW"),"NEGLIGIBLE",IF(AND(M16="VERY LOW",L16="MODERATE"),"NEGLIGIBLE",IF(AND(M16="VERY LOW",L16="HIGH"),"NEGLIGIBLE",IF(AND(M16="VERY LOW",L16="VERY HIGH"),"LOW",IF(AND(M16="LOW",L16="VERY LOW"),"NEGLIGIBLE",IF(AND(M16="LOW",L16="LOW"),"NEGLIGIBLE",IF(AND(M16="LOW",L16="MODERATE"),"LOW",IF(AND(M16="LOW",L16="HIGH"),"LOW",IF(AND(M16="LOW",L16="VERY HIGH"),"LOW",IF(AND(M16="MODERATE",L16="VERY LOW"),"NEGLIGIBLE",IF(AND(M16="MODERATE",L16="LOW"),"LOW",IF(AND(M16="MODERATE",L16="MODERATE"),"LOW",IF(AND(M16="MODERATE",L16="HIGH"),"MEDIUM",IF(AND(M16="MODERATE",L16="VERY HIGH"),"MEDIUM",IF(AND(M16="HIGH",L16="VERY LOW"),"NEGLIGIBLE",IF(AND(M16="HIGH",L16="LOW"),"LOW",IF(AND(M16="HIGH",L16="MODERATE"),"MEDIUM",IF(AND(M16="HIGH",L16="HIGH"),"MEDIUM",IF(AND(M16="HIGH",L16="VERY HIGH"),"HIGH",IF(AND(M16="VERY HIGH",L16="VERY LOW"),"LOW",IF(AND(M16="VERY HIGH",L16="LOW"),"LOW",IF(AND(M16="VERY HIGH",L16="MODERATE"),"MEDIUM",IF(AND(M16="VERY HIGH",L16="HIGH"),"HIGH",IF(AND(M16="VERY HIGH",L16="VERY HIGH"),"HIGH","Not applicable"))))))))))))))))))))))))))))</f>
        <v>Not applicable</v>
      </c>
      <c r="O16" s="5"/>
      <c r="P16" s="5"/>
      <c r="Q16" s="5"/>
      <c r="R16" s="5"/>
    </row>
    <row r="17" spans="1:20">
      <c r="A17" s="214"/>
      <c r="B17" s="214"/>
      <c r="C17" s="214"/>
      <c r="D17" s="214"/>
      <c r="E17" s="214"/>
      <c r="F17" s="214"/>
      <c r="G17" s="214"/>
      <c r="H17" s="214"/>
      <c r="I17" s="214"/>
      <c r="J17" s="5"/>
      <c r="L17" s="5"/>
      <c r="M17" s="5"/>
      <c r="N17" s="184"/>
      <c r="O17" s="5"/>
      <c r="P17" s="5"/>
      <c r="Q17" s="5"/>
      <c r="R17" s="5"/>
    </row>
    <row r="18" spans="1:20">
      <c r="A18" s="148"/>
      <c r="B18" s="148"/>
      <c r="C18" s="148"/>
      <c r="D18" s="148"/>
      <c r="E18" s="148"/>
      <c r="F18" s="148"/>
      <c r="G18" s="148"/>
      <c r="H18" s="148"/>
      <c r="I18" s="148"/>
      <c r="J18" s="5"/>
      <c r="L18" s="5"/>
      <c r="M18" s="5"/>
      <c r="N18" s="184"/>
      <c r="O18" s="5"/>
      <c r="P18" s="5"/>
      <c r="Q18" s="5"/>
      <c r="R18" s="5"/>
    </row>
    <row r="19" spans="1:20">
      <c r="A19" s="7" t="s">
        <v>369</v>
      </c>
      <c r="B19" s="4"/>
      <c r="C19" s="4"/>
      <c r="D19" s="4"/>
      <c r="E19" s="4"/>
      <c r="F19" s="4"/>
      <c r="G19" s="4"/>
      <c r="H19" s="4"/>
      <c r="I19" s="4"/>
      <c r="J19" s="5"/>
      <c r="L19" s="5"/>
      <c r="M19" s="5"/>
      <c r="N19" s="184"/>
      <c r="O19" s="5"/>
      <c r="P19" s="5"/>
      <c r="Q19" s="5"/>
      <c r="R19" s="5"/>
    </row>
    <row r="20" spans="1:20">
      <c r="A20" s="4" t="s">
        <v>398</v>
      </c>
      <c r="B20" s="4"/>
      <c r="C20" s="4"/>
      <c r="D20" s="4"/>
      <c r="E20" s="4"/>
      <c r="F20" s="4"/>
      <c r="G20" s="4"/>
      <c r="H20" s="4"/>
      <c r="I20" s="4"/>
      <c r="J20" s="194"/>
      <c r="L20" s="5" t="str">
        <f>IF(J20="YES","LOW","")</f>
        <v/>
      </c>
      <c r="M20" s="5" t="e">
        <f>'2. Post-restoration Likelihood'!$C$46</f>
        <v>#N/A</v>
      </c>
      <c r="N20" s="183" t="str">
        <f>(IF(J20="YES","Go to next question",IF(J20="NO","Not applicable","Please answer question")))</f>
        <v>Please answer question</v>
      </c>
      <c r="O20" s="2"/>
      <c r="P20" s="5"/>
      <c r="Q20" s="5"/>
      <c r="R20" s="5"/>
    </row>
    <row r="21" spans="1:20">
      <c r="A21" s="209" t="s">
        <v>388</v>
      </c>
      <c r="B21" s="209"/>
      <c r="C21" s="209"/>
      <c r="D21" s="209"/>
      <c r="E21" s="209"/>
      <c r="F21" s="209"/>
      <c r="G21" s="209"/>
      <c r="H21" s="209"/>
      <c r="I21" s="210"/>
      <c r="J21" s="194"/>
      <c r="L21" s="5" t="str">
        <f>IF(AND(J21="YES",J20="YES"),'Drop Down Options'!$R$26,IF(AND(J21="NO",J20="YES"),"VERY LOW",""))</f>
        <v/>
      </c>
      <c r="M21" s="5" t="e">
        <f>'2. Post-restoration Likelihood'!$C$46</f>
        <v>#N/A</v>
      </c>
      <c r="N21" s="183" t="str">
        <f>IF(J20="","Not applicable",IF(J20="No","Not applicable",IF(J21="","Please answer question",IF(AND(M21="VERY LOW",L21="VERY LOW"),"NEGLIGIBLE",IF(AND(M21="VERY LOW",L21="LOW"),"NEGLIGIBLE",IF(AND(M21="VERY LOW",L21="MODERATE"),"NEGLIGIBLE",IF(AND(M21="VERY LOW",L21="HIGH"),"NEGLIGIBLE",IF(AND(M21="VERY LOW",L21="VERY HIGH"),"LOW",IF(AND(M21="LOW",L21="VERY LOW"),"NEGLIGIBLE",IF(AND(M21="LOW",L21="LOW"),"NEGLIGIBLE",IF(AND(M21="LOW",L21="MODERATE"),"LOW",IF(AND(M21="LOW",L21="HIGH"),"LOW",IF(AND(M21="LOW",L21="VERY HIGH"),"LOW",IF(AND(M21="MODERATE",L21="VERY LOW"),"NEGLIGIBLE",IF(AND(M21="MODERATE",L21="LOW"),"LOW",IF(AND(M21="MODERATE",L21="MODERATE"),"LOW",IF(AND(M21="MODERATE",L21="HIGH"),"MEDIUM",IF(AND(M21="MODERATE",L21="VERY HIGH"),"MEDIUM",IF(AND(M21="HIGH",L21="VERY LOW"),"NEGLIGIBLE",IF(AND(M21="HIGH",L21="LOW"),"LOW",IF(AND(M21="HIGH",L21="MODERATE"),"MEDIUM",IF(AND(M21="HIGH",L21="HIGH"),"MEDIUM",IF(AND(M21="HIGH",L21="VERY HIGH"),"HIGH",IF(AND(M21="VERY HIGH",L21="VERY LOW"),"LOW",IF(AND(M21="VERY HIGH",L21="LOW"),"LOW",IF(AND(M21="VERY HIGH",L21="MODERATE"),"MEDIUM",IF(AND(M21="VERY HIGH",L21="HIGH"),"HIGH",IF(AND(M21="VERY HIGH",L21="VERY HIGH"),"HIGH","Not applicable"))))))))))))))))))))))))))))</f>
        <v>Not applicable</v>
      </c>
      <c r="O21" s="5"/>
      <c r="P21" s="5"/>
      <c r="Q21" s="5"/>
      <c r="R21" s="5"/>
    </row>
    <row r="22" spans="1:20">
      <c r="A22" s="209" t="s">
        <v>432</v>
      </c>
      <c r="B22" s="209"/>
      <c r="C22" s="209"/>
      <c r="D22" s="209"/>
      <c r="E22" s="209"/>
      <c r="F22" s="209"/>
      <c r="G22" s="209"/>
      <c r="H22" s="209"/>
      <c r="I22" s="210"/>
      <c r="J22" s="194"/>
      <c r="L22" s="5" t="str">
        <f>IF(AND(J22="YES",J20="YES"),'Drop Down Options'!$R$27,IF(AND(J22="NO",J20="YES"),"VERY LOW",""))</f>
        <v/>
      </c>
      <c r="M22" s="5" t="e">
        <f>'2. Post-restoration Likelihood'!$C$46</f>
        <v>#N/A</v>
      </c>
      <c r="N22" s="183" t="str">
        <f>IF(J20="","Not applicable",IF(J20="No","Not applicable",IF(J22="","Please answer question",IF(AND(M22="VERY LOW",L22="VERY LOW"),"NEGLIGIBLE",IF(AND(M22="VERY LOW",L22="LOW"),"NEGLIGIBLE",IF(AND(M22="VERY LOW",L22="MODERATE"),"NEGLIGIBLE",IF(AND(M22="VERY LOW",L22="HIGH"),"NEGLIGIBLE",IF(AND(M22="VERY LOW",L22="VERY HIGH"),"LOW",IF(AND(M22="LOW",L22="VERY LOW"),"NEGLIGIBLE",IF(AND(M22="LOW",L22="LOW"),"NEGLIGIBLE",IF(AND(M22="LOW",L22="MODERATE"),"LOW",IF(AND(M22="LOW",L22="HIGH"),"LOW",IF(AND(M22="LOW",L22="VERY HIGH"),"LOW",IF(AND(M22="MODERATE",L22="VERY LOW"),"NEGLIGIBLE",IF(AND(M22="MODERATE",L22="LOW"),"LOW",IF(AND(M22="MODERATE",L22="MODERATE"),"LOW",IF(AND(M22="MODERATE",L22="HIGH"),"MEDIUM",IF(AND(M22="MODERATE",L22="VERY HIGH"),"MEDIUM",IF(AND(M22="HIGH",L22="VERY LOW"),"NEGLIGIBLE",IF(AND(M22="HIGH",L22="LOW"),"LOW",IF(AND(M22="HIGH",L22="MODERATE"),"MEDIUM",IF(AND(M22="HIGH",L22="HIGH"),"MEDIUM",IF(AND(M22="HIGH",L22="VERY HIGH"),"HIGH",IF(AND(M22="VERY HIGH",L22="VERY LOW"),"LOW",IF(AND(M22="VERY HIGH",L22="LOW"),"LOW",IF(AND(M22="VERY HIGH",L22="MODERATE"),"MEDIUM",IF(AND(M22="VERY HIGH",L22="HIGH"),"HIGH",IF(AND(M22="VERY HIGH",L22="VERY HIGH"),"HIGH","Not applicable"))))))))))))))))))))))))))))</f>
        <v>Not applicable</v>
      </c>
      <c r="O22" s="5"/>
      <c r="P22" s="5"/>
      <c r="Q22" s="5"/>
      <c r="R22" s="5"/>
    </row>
    <row r="23" spans="1:20">
      <c r="A23" s="4" t="s">
        <v>397</v>
      </c>
      <c r="B23" s="4"/>
      <c r="C23" s="4"/>
      <c r="D23" s="4"/>
      <c r="E23" s="4"/>
      <c r="F23" s="4"/>
      <c r="G23" s="4"/>
      <c r="H23" s="4"/>
      <c r="I23" s="4"/>
      <c r="J23" s="194"/>
      <c r="L23" s="5" t="str">
        <f>IF(J23="YES",VLOOKUP(A23,'Drop Down Options'!$Q$26:$R$29,2,FALSE),"")</f>
        <v/>
      </c>
      <c r="M23" s="5" t="e">
        <f>'2. Post-restoration Likelihood'!$C$46</f>
        <v>#N/A</v>
      </c>
      <c r="N23" s="183" t="str">
        <f>IF(J23="","Please answer the question",(IF(J23="No","Not applicable",IF(AND(M23="VERY LOW",L23="VERY LOW"),"NEGLIGIBLE",IF(AND(M23="VERY LOW",L23="LOW"),"NEGLIGIBLE",IF(AND(M23="VERY LOW",L23="MODERATE"),"NEGLIGIBLE",IF(AND(M23="VERY LOW",L23="HIGH"),"NEGLIGIBLE",IF(AND(M23="VERY LOW",L23="VERY HIGH"),"LOW",IF(AND(M23="LOW",L23="VERY LOW"),"NEGLIGIBLE",IF(AND(M23="LOW",L23="LOW"),"NEGLIGIBLE",IF(AND(M23="LOW",L23="MODERATE"),"LOW",IF(AND(M23="LOW",L23="HIGH"),"LOW",IF(AND(M23="LOW",L23="VERY HIGH"),"LOW",IF(AND(M23="MODERATE",L23="VERY LOW"),"NEGLIGIBLE",IF(AND(M23="MODERATE",L23="LOW"),"LOW",IF(AND(M23="MODERATE",L23="MODERATE"),"LOW",IF(AND(M23="MODERATE",L23="HIGH"),"MEDIUM",IF(AND(M23="MODERATE",L23="VERY HIGH"),"MEDIUM",IF(AND(M23="HIGH",L23="VERY LOW"),"NEGLIGIBLE",IF(AND(M23="HIGH",L23="LOW"),"LOW",IF(AND(M23="HIGH",L23="MODERATE"),"MEDIUM",IF(AND(M23="HIGH",L23="HIGH"),"MEDIUM",IF(AND(M23="HIGH",L23="VERY HIGH"),"HIGH",IF(AND(M23="VERY HIGH",L23="VERY LOW"),"LOW",IF(AND(M23="VERY HIGH",L23="LOW"),"LOW",IF(AND(M23="VERY HIGH",L23="MODERATE"),"MEDIUM",IF(AND(M23="VERY HIGH",L23="HIGH"),"HIGH",IF(AND(M23="VERY HIGH",L23="VERY HIGH"),"HIGH","Please answer question"))))))))))))))))))))))))))))</f>
        <v>Please answer the question</v>
      </c>
      <c r="O23" s="5"/>
      <c r="P23" s="5"/>
      <c r="Q23" s="5"/>
      <c r="R23" s="5"/>
    </row>
    <row r="24" spans="1:20">
      <c r="A24" s="4" t="s">
        <v>366</v>
      </c>
      <c r="B24" s="4"/>
      <c r="C24" s="4"/>
      <c r="D24" s="4"/>
      <c r="E24" s="4"/>
      <c r="F24" s="4"/>
      <c r="G24" s="4"/>
      <c r="H24" s="4"/>
      <c r="I24" s="4"/>
      <c r="J24" s="194"/>
      <c r="L24" s="5" t="str">
        <f>IF(J24="YES",VLOOKUP(A24,'Drop Down Options'!$Q$26:$R$29,2,FALSE),"")</f>
        <v/>
      </c>
      <c r="M24" s="5" t="e">
        <f>'2. Post-restoration Likelihood'!$C$46</f>
        <v>#N/A</v>
      </c>
      <c r="N24" s="183" t="str">
        <f>IF(J24="","Please answer the question",(IF(J24="No","Not applicable",IF(AND(M24="VERY LOW",L24="VERY LOW"),"NEGLIGIBLE",IF(AND(M24="VERY LOW",L24="LOW"),"NEGLIGIBLE",IF(AND(M24="VERY LOW",L24="MODERATE"),"NEGLIGIBLE",IF(AND(M24="VERY LOW",L24="HIGH"),"NEGLIGIBLE",IF(AND(M24="VERY LOW",L24="VERY HIGH"),"LOW",IF(AND(M24="LOW",L24="VERY LOW"),"NEGLIGIBLE",IF(AND(M24="LOW",L24="LOW"),"NEGLIGIBLE",IF(AND(M24="LOW",L24="MODERATE"),"LOW",IF(AND(M24="LOW",L24="HIGH"),"LOW",IF(AND(M24="LOW",L24="VERY HIGH"),"LOW",IF(AND(M24="MODERATE",L24="VERY LOW"),"NEGLIGIBLE",IF(AND(M24="MODERATE",L24="LOW"),"LOW",IF(AND(M24="MODERATE",L24="MODERATE"),"LOW",IF(AND(M24="MODERATE",L24="HIGH"),"MEDIUM",IF(AND(M24="MODERATE",L24="VERY HIGH"),"MEDIUM",IF(AND(M24="HIGH",L24="VERY LOW"),"NEGLIGIBLE",IF(AND(M24="HIGH",L24="LOW"),"LOW",IF(AND(M24="HIGH",L24="MODERATE"),"MEDIUM",IF(AND(M24="HIGH",L24="HIGH"),"MEDIUM",IF(AND(M24="HIGH",L24="VERY HIGH"),"HIGH",IF(AND(M24="VERY HIGH",L24="VERY LOW"),"LOW",IF(AND(M24="VERY HIGH",L24="LOW"),"LOW",IF(AND(M24="VERY HIGH",L24="MODERATE"),"MEDIUM",IF(AND(M24="VERY HIGH",L24="HIGH"),"HIGH",IF(AND(M24="VERY HIGH",L24="VERY HIGH"),"HIGH","Please answer question"))))))))))))))))))))))))))))</f>
        <v>Please answer the question</v>
      </c>
      <c r="O24" s="5"/>
      <c r="P24" s="5"/>
      <c r="Q24" s="5"/>
      <c r="R24" s="5"/>
    </row>
    <row r="25" spans="1:20">
      <c r="A25" s="4" t="s">
        <v>367</v>
      </c>
      <c r="B25" s="4"/>
      <c r="C25" s="4"/>
      <c r="D25" s="4"/>
      <c r="E25" s="4"/>
      <c r="F25" s="4"/>
      <c r="G25" s="4"/>
      <c r="H25" s="4"/>
      <c r="I25" s="4"/>
      <c r="J25" s="194"/>
      <c r="L25" s="5" t="str">
        <f>IF(J25="YES",VLOOKUP(A25,'Drop Down Options'!$Q$26:$R$29,2,FALSE),"")</f>
        <v/>
      </c>
      <c r="M25" s="5" t="e">
        <f>'2. Post-restoration Likelihood'!$C$46</f>
        <v>#N/A</v>
      </c>
      <c r="N25" s="183" t="str">
        <f>IF(J25="","Please answer the question",(IF(J25="No","Not applicable",IF(AND(M25="VERY LOW",L25="VERY LOW"),"NEGLIGIBLE",IF(AND(M25="VERY LOW",L25="LOW"),"NEGLIGIBLE",IF(AND(M25="VERY LOW",L25="MODERATE"),"NEGLIGIBLE",IF(AND(M25="VERY LOW",L25="HIGH"),"NEGLIGIBLE",IF(AND(M25="VERY LOW",L25="VERY HIGH"),"LOW",IF(AND(M25="LOW",L25="VERY LOW"),"NEGLIGIBLE",IF(AND(M25="LOW",L25="LOW"),"NEGLIGIBLE",IF(AND(M25="LOW",L25="MODERATE"),"LOW",IF(AND(M25="LOW",L25="HIGH"),"LOW",IF(AND(M25="LOW",L25="VERY HIGH"),"LOW",IF(AND(M25="MODERATE",L25="VERY LOW"),"NEGLIGIBLE",IF(AND(M25="MODERATE",L25="LOW"),"LOW",IF(AND(M25="MODERATE",L25="MODERATE"),"LOW",IF(AND(M25="MODERATE",L25="HIGH"),"MEDIUM",IF(AND(M25="MODERATE",L25="VERY HIGH"),"MEDIUM",IF(AND(M25="HIGH",L25="VERY LOW"),"NEGLIGIBLE",IF(AND(M25="HIGH",L25="LOW"),"LOW",IF(AND(M25="HIGH",L25="MODERATE"),"MEDIUM",IF(AND(M25="HIGH",L25="HIGH"),"MEDIUM",IF(AND(M25="HIGH",L25="VERY HIGH"),"HIGH",IF(AND(M25="VERY HIGH",L25="VERY LOW"),"LOW",IF(AND(M25="VERY HIGH",L25="LOW"),"LOW",IF(AND(M25="VERY HIGH",L25="MODERATE"),"MEDIUM",IF(AND(M25="VERY HIGH",L25="HIGH"),"HIGH",IF(AND(M25="VERY HIGH",L25="VERY HIGH"),"HIGH","Please answer question"))))))))))))))))))))))))))))</f>
        <v>Please answer the question</v>
      </c>
      <c r="O25" s="5"/>
      <c r="P25" s="5"/>
      <c r="Q25" s="5"/>
      <c r="R25" s="5"/>
      <c r="T25" s="6"/>
    </row>
    <row r="26" spans="1:20">
      <c r="A26" s="4"/>
      <c r="B26" s="4"/>
      <c r="C26" s="4"/>
      <c r="D26" s="4"/>
      <c r="E26" s="4"/>
      <c r="F26" s="4"/>
      <c r="G26" s="4"/>
      <c r="H26" s="4"/>
      <c r="I26" s="4"/>
      <c r="J26" s="5"/>
      <c r="L26" s="5"/>
      <c r="M26" s="5"/>
      <c r="N26" s="184"/>
      <c r="O26" s="5"/>
      <c r="P26" s="5"/>
      <c r="Q26" s="5"/>
      <c r="R26" s="5"/>
    </row>
    <row r="27" spans="1:20">
      <c r="A27" s="7" t="s">
        <v>377</v>
      </c>
      <c r="B27" s="4"/>
      <c r="C27" s="4"/>
      <c r="D27" s="4"/>
      <c r="E27" s="4"/>
      <c r="F27" s="4"/>
      <c r="G27" s="4"/>
      <c r="H27" s="4"/>
      <c r="I27" s="4"/>
      <c r="J27" s="5"/>
      <c r="L27" s="5"/>
      <c r="M27" s="5"/>
      <c r="N27" s="184"/>
      <c r="O27" s="5"/>
      <c r="P27" s="5"/>
      <c r="Q27" s="5"/>
      <c r="R27" s="5"/>
    </row>
    <row r="28" spans="1:20">
      <c r="A28" s="4" t="s">
        <v>318</v>
      </c>
      <c r="B28" s="4"/>
      <c r="C28" s="4"/>
      <c r="D28" s="4"/>
      <c r="E28" s="4"/>
      <c r="F28" s="4"/>
      <c r="G28" s="4"/>
      <c r="H28" s="4"/>
      <c r="I28" s="4"/>
      <c r="J28" s="194"/>
      <c r="L28" s="5" t="str">
        <f>IF(J28="YES","HIGH","")</f>
        <v/>
      </c>
      <c r="M28" s="5" t="e">
        <f>'2. Post-restoration Likelihood'!$C$46</f>
        <v>#N/A</v>
      </c>
      <c r="N28" s="183" t="str">
        <f>IF(J28="YES","Go to next question", IF(J28="NO","Not applicable","Please answer question"))</f>
        <v>Please answer question</v>
      </c>
      <c r="O28" s="2"/>
      <c r="P28" s="5"/>
      <c r="Q28" s="5"/>
      <c r="R28" s="5"/>
    </row>
    <row r="29" spans="1:20">
      <c r="A29" s="209" t="s">
        <v>375</v>
      </c>
      <c r="B29" s="209"/>
      <c r="C29" s="209"/>
      <c r="D29" s="209"/>
      <c r="E29" s="209"/>
      <c r="F29" s="209"/>
      <c r="G29" s="209"/>
      <c r="H29" s="209"/>
      <c r="I29" s="210"/>
      <c r="J29" s="194"/>
      <c r="L29" s="2" t="str">
        <f>IF(AND(J29="YES",J28="YES"),"HIGH",IF(AND(J29="NO",J28="YES"),"MODERATE",""))</f>
        <v/>
      </c>
      <c r="M29" s="5" t="e">
        <f>'2. Post-restoration Likelihood'!$C$46</f>
        <v>#N/A</v>
      </c>
      <c r="N29" s="183" t="str">
        <f>IF(J28="","Not applicable",IF(J28="No","Not applicable",IF(J29="","Please answer question",IF(AND(M29="VERY LOW",L29="VERY LOW"),"NEGLIGIBLE",IF(AND(M29="VERY LOW",L29="LOW"),"NEGLIGIBLE",IF(AND(M29="VERY LOW",L29="MODERATE"),"NEGLIGIBLE",IF(AND(M29="VERY LOW",L29="HIGH"),"NEGLIGIBLE",IF(AND(M29="VERY LOW",L29="VERY HIGH"),"LOW",IF(AND(M29="LOW",L29="VERY LOW"),"NEGLIGIBLE",IF(AND(M29="LOW",L29="LOW"),"NEGLIGIBLE",IF(AND(M29="LOW",L29="MODERATE"),"LOW",IF(AND(M29="LOW",L29="HIGH"),"LOW",IF(AND(M29="LOW",L29="VERY HIGH"),"LOW",IF(AND(M29="MODERATE",L29="VERY LOW"),"NEGLIGIBLE",IF(AND(M29="MODERATE",L29="LOW"),"LOW",IF(AND(M29="MODERATE",L29="MODERATE"),"LOW",IF(AND(M29="MODERATE",L29="HIGH"),"MEDIUM",IF(AND(M29="MODERATE",L29="VERY HIGH"),"MEDIUM",IF(AND(M29="HIGH",L29="VERY LOW"),"NEGLIGIBLE",IF(AND(M29="HIGH",L29="LOW"),"LOW",IF(AND(M29="HIGH",L29="MODERATE"),"MEDIUM",IF(AND(M29="HIGH",L29="HIGH"),"MEDIUM",IF(AND(M29="HIGH",L29="VERY HIGH"),"HIGH",IF(AND(M29="VERY HIGH",L29="VERY LOW"),"LOW",IF(AND(M29="VERY HIGH",L29="LOW"),"LOW",IF(AND(M29="VERY HIGH",L29="MODERATE"),"MEDIUM",IF(AND(M29="VERY HIGH",L29="HIGH"),"HIGH",IF(AND(M29="VERY HIGH",L29="VERY HIGH"),"HIGH","Not applicable"))))))))))))))))))))))))))))</f>
        <v>Not applicable</v>
      </c>
      <c r="O29" s="5"/>
      <c r="P29" s="5"/>
      <c r="Q29" s="5"/>
      <c r="R29" s="5"/>
    </row>
    <row r="30" spans="1:20">
      <c r="A30" s="4" t="s">
        <v>317</v>
      </c>
      <c r="B30" s="4"/>
      <c r="C30" s="4"/>
      <c r="D30" s="4"/>
      <c r="E30" s="4"/>
      <c r="F30" s="4"/>
      <c r="G30" s="4"/>
      <c r="H30" s="4"/>
      <c r="I30" s="4"/>
      <c r="J30" s="194"/>
      <c r="L30" s="5" t="str">
        <f>IF(J30="YES",VLOOKUP(A30,'Drop Down Options'!$Q$34:$R$36,2,FALSE),"")</f>
        <v/>
      </c>
      <c r="M30" s="5" t="e">
        <f>'2. Post-restoration Likelihood'!$C$46</f>
        <v>#N/A</v>
      </c>
      <c r="N30" s="183" t="str">
        <f>IF(J30="","Please answer question",IF(AND(M30="VERY LOW",L30="VERY LOW"),"NEGLIGIBLE",IF(AND(M30="VERY LOW",L30="LOW"),"NEGLIGIBLE",IF(AND(M30="VERY LOW",L30="MODERATE"),"NEGLIGIBLE",IF(AND(M30="VERY LOW",L30="HIGH"),"NEGLIGIBLE",IF(AND(M30="VERY LOW",L30="VERY HIGH"),"LOW",IF(AND(M30="LOW",L30="VERY LOW"),"NEGLIGIBLE",IF(AND(M30="LOW",L30="LOW"),"NEGLIGIBLE",IF(AND(M30="LOW",L30="MODERATE"),"LOW",IF(AND(M30="LOW",L30="HIGH"),"LOW",IF(AND(M30="LOW",L30="VERY HIGH"),"LOW",IF(AND(M30="MODERATE",L30="VERY LOW"),"NEGLIGIBLE",IF(AND(M30="MODERATE",L30="LOW"),"LOW",IF(AND(M30="MODERATE",L30="MODERATE"),"LOW",IF(AND(M30="MODERATE",L30="HIGH"),"MEDIUM",IF(AND(M30="MODERATE",L30="VERY HIGH"),"MEDIUM",IF(AND(M30="HIGH",L30="VERY LOW"),"NEGLIGIBLE",IF(AND(M30="HIGH",L30="LOW"),"LOW",IF(AND(M30="HIGH",L30="MODERATE"),"MEDIUM",IF(AND(M30="HIGH",L30="HIGH"),"MEDIUM",IF(AND(M30="HIGH",L30="VERY HIGH"),"HIGH",IF(AND(M30="VERY HIGH",L30="VERY LOW"),"LOW",IF(AND(M30="VERY HIGH",L30="LOW"),"LOW",IF(AND(M30="VERY HIGH",L30="MODERATE"),"MEDIUM",IF(AND(M30="VERY HIGH",L30="HIGH"),"HIGH",IF(AND(M30="VERY HIGH",L30="VERY HIGH"),"HIGH","Not applicable"))))))))))))))))))))))))))</f>
        <v>Please answer question</v>
      </c>
      <c r="O30" s="5"/>
      <c r="P30" s="5"/>
      <c r="Q30" s="5"/>
      <c r="R30" s="5"/>
    </row>
    <row r="31" spans="1:20">
      <c r="A31" s="4" t="s">
        <v>135</v>
      </c>
      <c r="B31" s="4"/>
      <c r="C31" s="4"/>
      <c r="D31" s="4"/>
      <c r="E31" s="4"/>
      <c r="F31" s="4"/>
      <c r="G31" s="4"/>
      <c r="H31" s="4"/>
      <c r="I31" s="4"/>
      <c r="J31" s="194"/>
      <c r="L31" s="5" t="str">
        <f>IF(J31="YES",VLOOKUP(A31,'Drop Down Options'!$Q$34:$R$36,2,FALSE),"")</f>
        <v/>
      </c>
      <c r="M31" s="5" t="e">
        <f>'2. Post-restoration Likelihood'!$C$46</f>
        <v>#N/A</v>
      </c>
      <c r="N31" s="183" t="str">
        <f>IF(J31="","Please answer question",IF(AND(M31="VERY LOW",L31="VERY LOW"),"NEGLIGIBLE",IF(AND(M31="VERY LOW",L31="LOW"),"NEGLIGIBLE",IF(AND(M31="VERY LOW",L31="MODERATE"),"NEGLIGIBLE",IF(AND(M31="VERY LOW",L31="HIGH"),"NEGLIGIBLE",IF(AND(M31="VERY LOW",L31="VERY HIGH"),"LOW",IF(AND(M31="LOW",L31="VERY LOW"),"NEGLIGIBLE",IF(AND(M31="LOW",L31="LOW"),"NEGLIGIBLE",IF(AND(M31="LOW",L31="MODERATE"),"LOW",IF(AND(M31="LOW",L31="HIGH"),"LOW",IF(AND(M31="LOW",L31="VERY HIGH"),"LOW",IF(AND(M31="MODERATE",L31="VERY LOW"),"NEGLIGIBLE",IF(AND(M31="MODERATE",L31="LOW"),"LOW",IF(AND(M31="MODERATE",L31="MODERATE"),"LOW",IF(AND(M31="MODERATE",L31="HIGH"),"MEDIUM",IF(AND(M31="MODERATE",L31="VERY HIGH"),"MEDIUM",IF(AND(M31="HIGH",L31="VERY LOW"),"NEGLIGIBLE",IF(AND(M31="HIGH",L31="LOW"),"LOW",IF(AND(M31="HIGH",L31="MODERATE"),"MEDIUM",IF(AND(M31="HIGH",L31="HIGH"),"MEDIUM",IF(AND(M31="HIGH",L31="VERY HIGH"),"HIGH",IF(AND(M31="VERY HIGH",L31="VERY LOW"),"LOW",IF(AND(M31="VERY HIGH",L31="LOW"),"LOW",IF(AND(M31="VERY HIGH",L31="MODERATE"),"MEDIUM",IF(AND(M31="VERY HIGH",L31="HIGH"),"HIGH",IF(AND(M31="VERY HIGH",L31="VERY HIGH"),"HIGH","Not applicable"))))))))))))))))))))))))))</f>
        <v>Please answer question</v>
      </c>
      <c r="O31" s="5"/>
      <c r="P31" s="5"/>
      <c r="Q31" s="5"/>
      <c r="R31" s="5"/>
    </row>
    <row r="32" spans="1:20">
      <c r="A32" s="4"/>
      <c r="B32" s="4"/>
      <c r="C32" s="4"/>
      <c r="D32" s="4"/>
      <c r="E32" s="4"/>
      <c r="F32" s="4"/>
      <c r="G32" s="4"/>
      <c r="H32" s="4"/>
      <c r="I32" s="4"/>
      <c r="J32" s="5"/>
      <c r="L32" s="5"/>
      <c r="M32" s="5"/>
      <c r="N32" s="184"/>
      <c r="O32" s="5"/>
      <c r="P32" s="5"/>
      <c r="Q32" s="5"/>
      <c r="R32" s="5"/>
    </row>
    <row r="33" spans="1:20">
      <c r="A33" s="7" t="s">
        <v>376</v>
      </c>
      <c r="B33" s="4"/>
      <c r="C33" s="4"/>
      <c r="D33" s="4"/>
      <c r="E33" s="4"/>
      <c r="F33" s="4"/>
      <c r="G33" s="4"/>
      <c r="H33" s="4"/>
      <c r="I33" s="4"/>
      <c r="J33" s="5"/>
      <c r="L33" s="5"/>
      <c r="M33" s="5"/>
      <c r="N33" s="184"/>
      <c r="O33" s="5"/>
      <c r="P33" s="5"/>
      <c r="Q33" s="5"/>
      <c r="R33" s="5"/>
      <c r="T33" s="6"/>
    </row>
    <row r="34" spans="1:20">
      <c r="A34" s="4" t="s">
        <v>137</v>
      </c>
      <c r="B34" s="4"/>
      <c r="C34" s="4"/>
      <c r="D34" s="4"/>
      <c r="E34" s="4"/>
      <c r="F34" s="4"/>
      <c r="G34" s="4"/>
      <c r="H34" s="4"/>
      <c r="I34" s="4"/>
      <c r="J34" s="194"/>
      <c r="L34" s="5" t="str">
        <f>IF(J34="YES",VLOOKUP(A34,'Drop Down Options'!$Q$41:$R$45,2,FALSE),"")</f>
        <v/>
      </c>
      <c r="M34" s="5" t="e">
        <f>'2. Post-restoration Likelihood'!$C$46</f>
        <v>#N/A</v>
      </c>
      <c r="N34" s="183" t="str">
        <f t="shared" ref="N34:N39" si="0">IF(J34="","Please answer question",IF(AND(M34="VERY LOW",L34="VERY LOW"),"NEGLIGIBLE",IF(AND(M34="VERY LOW",L34="LOW"),"NEGLIGIBLE",IF(AND(M34="VERY LOW",L34="MODERATE"),"NEGLIGIBLE",IF(AND(M34="VERY LOW",L34="HIGH"),"NEGLIGIBLE",IF(AND(M34="VERY LOW",L34="VERY HIGH"),"LOW",IF(AND(M34="LOW",L34="VERY LOW"),"NEGLIGIBLE",IF(AND(M34="LOW",L34="LOW"),"NEGLIGIBLE",IF(AND(M34="LOW",L34="MODERATE"),"LOW",IF(AND(M34="LOW",L34="HIGH"),"LOW",IF(AND(M34="LOW",L34="VERY HIGH"),"LOW",IF(AND(M34="MODERATE",L34="VERY LOW"),"NEGLIGIBLE",IF(AND(M34="MODERATE",L34="LOW"),"LOW",IF(AND(M34="MODERATE",L34="MODERATE"),"LOW",IF(AND(M34="MODERATE",L34="HIGH"),"MEDIUM",IF(AND(M34="MODERATE",L34="VERY HIGH"),"MEDIUM",IF(AND(M34="HIGH",L34="VERY LOW"),"NEGLIGIBLE",IF(AND(M34="HIGH",L34="LOW"),"LOW",IF(AND(M34="HIGH",L34="MODERATE"),"MEDIUM",IF(AND(M34="HIGH",L34="HIGH"),"MEDIUM",IF(AND(M34="HIGH",L34="VERY HIGH"),"HIGH",IF(AND(M34="VERY HIGH",L34="VERY LOW"),"LOW",IF(AND(M34="VERY HIGH",L34="LOW"),"LOW",IF(AND(M34="VERY HIGH",L34="MODERATE"),"MEDIUM",IF(AND(M34="VERY HIGH",L34="HIGH"),"HIGH",IF(AND(M34="VERY HIGH",L34="VERY HIGH"),"HIGH","Not applicable"))))))))))))))))))))))))))</f>
        <v>Please answer question</v>
      </c>
      <c r="O34" s="5"/>
      <c r="P34" s="5"/>
      <c r="Q34" s="5"/>
      <c r="R34" s="5"/>
    </row>
    <row r="35" spans="1:20">
      <c r="A35" s="4" t="s">
        <v>138</v>
      </c>
      <c r="B35" s="4"/>
      <c r="C35" s="4"/>
      <c r="D35" s="4"/>
      <c r="E35" s="4"/>
      <c r="F35" s="4"/>
      <c r="G35" s="4"/>
      <c r="H35" s="4"/>
      <c r="I35" s="4"/>
      <c r="J35" s="194"/>
      <c r="L35" s="5" t="str">
        <f>IF(J35="YES",VLOOKUP(A35,'Drop Down Options'!$Q$41:$R$45,2,FALSE),"")</f>
        <v/>
      </c>
      <c r="M35" s="5" t="e">
        <f>'2. Post-restoration Likelihood'!$C$46</f>
        <v>#N/A</v>
      </c>
      <c r="N35" s="183" t="str">
        <f t="shared" si="0"/>
        <v>Please answer question</v>
      </c>
      <c r="O35" s="5"/>
      <c r="P35" s="5"/>
      <c r="Q35" s="5"/>
      <c r="R35" s="5"/>
    </row>
    <row r="36" spans="1:20">
      <c r="A36" s="4" t="s">
        <v>139</v>
      </c>
      <c r="B36" s="4"/>
      <c r="C36" s="4"/>
      <c r="D36" s="4"/>
      <c r="E36" s="4"/>
      <c r="F36" s="4"/>
      <c r="G36" s="4"/>
      <c r="H36" s="4"/>
      <c r="I36" s="4"/>
      <c r="J36" s="194"/>
      <c r="L36" s="5" t="str">
        <f>IF(J36="YES",VLOOKUP(A36,'Drop Down Options'!$Q$41:$R$45,2,FALSE),"")</f>
        <v/>
      </c>
      <c r="M36" s="5" t="e">
        <f>'2. Post-restoration Likelihood'!$C$46</f>
        <v>#N/A</v>
      </c>
      <c r="N36" s="183" t="str">
        <f>IF(J36="","Please answer question",IF(AND(M36="VERY LOW",L36="VERY LOW"),"NEGLIGIBLE",IF(AND(M36="VERY LOW",L36="LOW"),"NEGLIGIBLE",IF(AND(M36="VERY LOW",L36="MODERATE"),"NEGLIGIBLE",IF(AND(M36="VERY LOW",L36="HIGH"),"NEGLIGIBLE",IF(AND(M36="VERY LOW",L36="VERY HIGH"),"LOW",IF(AND(M36="LOW",L36="VERY LOW"),"NEGLIGIBLE",IF(AND(M36="LOW",L36="LOW"),"NEGLIGIBLE",IF(AND(M36="LOW",L36="MODERATE"),"LOW",IF(AND(M36="LOW",L36="HIGH"),"LOW",IF(AND(M36="LOW",L36="VERY HIGH"),"LOW",IF(AND(M36="MODERATE",L36="VERY LOW"),"NEGLIGIBLE",IF(AND(M36="MODERATE",L36="LOW"),"LOW",IF(AND(M36="MODERATE",L36="MODERATE"),"LOW",IF(AND(M36="MODERATE",L36="HIGH"),"MEDIUM",IF(AND(M36="MODERATE",L36="VERY HIGH"),"MEDIUM",IF(AND(M36="HIGH",L36="VERY LOW"),"NEGLIGIBLE",IF(AND(M36="HIGH",L36="LOW"),"LOW",IF(AND(M36="HIGH",L36="MODERATE"),"MEDIUM",IF(AND(M36="HIGH",L36="HIGH"),"MEDIUM",IF(AND(M36="HIGH",L36="VERY HIGH"),"HIGH",IF(AND(M36="VERY HIGH",L36="VERY LOW"),"LOW",IF(AND(M36="VERY HIGH",L36="LOW"),"LOW",IF(AND(M36="VERY HIGH",L36="MODERATE"),"MEDIUM",IF(AND(M36="VERY HIGH",L36="HIGH"),"HIGH",IF(AND(M36="VERY HIGH",L36="VERY HIGH"),"HIGH","Not applicable"))))))))))))))))))))))))))</f>
        <v>Please answer question</v>
      </c>
      <c r="O36" s="5"/>
      <c r="P36" s="5"/>
      <c r="Q36" s="144"/>
      <c r="R36" s="5"/>
    </row>
    <row r="37" spans="1:20">
      <c r="A37" s="4" t="s">
        <v>322</v>
      </c>
      <c r="B37" s="4"/>
      <c r="C37" s="4"/>
      <c r="D37" s="4"/>
      <c r="E37" s="4"/>
      <c r="F37" s="4"/>
      <c r="G37" s="4"/>
      <c r="H37" s="4"/>
      <c r="I37" s="4"/>
      <c r="J37" s="194"/>
      <c r="L37" s="5" t="str">
        <f>IF(J37="YES",VLOOKUP(A37,'Drop Down Options'!$Q$41:$R$45,2,FALSE),"")</f>
        <v/>
      </c>
      <c r="M37" s="5" t="e">
        <f>'2. Post-restoration Likelihood'!$C$46</f>
        <v>#N/A</v>
      </c>
      <c r="N37" s="183" t="str">
        <f>IF(J37="","Please answer question",IF(AND(M37="VERY LOW",L37="VERY LOW"),"NEGLIGIBLE",IF(AND(M37="VERY LOW",L37="LOW"),"NEGLIGIBLE",IF(AND(M37="VERY LOW",L37="MODERATE"),"NEGLIGIBLE",IF(AND(M37="VERY LOW",L37="HIGH"),"NEGLIGIBLE",IF(AND(M37="VERY LOW",L37="VERY HIGH"),"LOW",IF(AND(M37="LOW",L37="VERY LOW"),"NEGLIGIBLE",IF(AND(M37="LOW",L37="LOW"),"NEGLIGIBLE",IF(AND(M37="LOW",L37="MODERATE"),"LOW",IF(AND(M37="LOW",L37="HIGH"),"LOW",IF(AND(M37="LOW",L37="VERY HIGH"),"LOW",IF(AND(M37="MODERATE",L37="VERY LOW"),"NEGLIGIBLE",IF(AND(M37="MODERATE",L37="LOW"),"LOW",IF(AND(M37="MODERATE",L37="MODERATE"),"LOW",IF(AND(M37="MODERATE",L37="HIGH"),"MEDIUM",IF(AND(M37="MODERATE",L37="VERY HIGH"),"MEDIUM",IF(AND(M37="HIGH",L37="VERY LOW"),"NEGLIGIBLE",IF(AND(M37="HIGH",L37="LOW"),"LOW",IF(AND(M37="HIGH",L37="MODERATE"),"MEDIUM",IF(AND(M37="HIGH",L37="HIGH"),"MEDIUM",IF(AND(M37="HIGH",L37="VERY HIGH"),"HIGH",IF(AND(M37="VERY HIGH",L37="VERY LOW"),"LOW",IF(AND(M37="VERY HIGH",L37="LOW"),"LOW",IF(AND(M37="VERY HIGH",L37="MODERATE"),"MEDIUM",IF(AND(M37="VERY HIGH",L37="HIGH"),"HIGH",IF(AND(M37="VERY HIGH",L37="VERY HIGH"),"HIGH","Not applicable"))))))))))))))))))))))))))</f>
        <v>Please answer question</v>
      </c>
      <c r="O37" s="5"/>
      <c r="P37" s="5"/>
      <c r="Q37" s="5"/>
      <c r="R37" s="5"/>
    </row>
    <row r="38" spans="1:20">
      <c r="A38" s="4" t="s">
        <v>349</v>
      </c>
      <c r="B38" s="4"/>
      <c r="C38" s="4"/>
      <c r="D38" s="4"/>
      <c r="E38" s="4"/>
      <c r="F38" s="4"/>
      <c r="G38" s="4"/>
      <c r="H38" s="4"/>
      <c r="I38" s="4"/>
      <c r="J38" s="194"/>
      <c r="L38" s="5" t="str">
        <f>IF(J38="YES",VLOOKUP(A38,'Drop Down Options'!$Q$41:$R$45,2,FALSE),"")</f>
        <v/>
      </c>
      <c r="M38" s="5" t="e">
        <f>'2. Post-restoration Likelihood'!$C$46</f>
        <v>#N/A</v>
      </c>
      <c r="N38" s="183" t="str">
        <f t="shared" si="0"/>
        <v>Please answer question</v>
      </c>
      <c r="O38" s="5"/>
      <c r="P38" s="5"/>
      <c r="Q38" s="5"/>
      <c r="R38" s="5"/>
    </row>
    <row r="39" spans="1:20">
      <c r="A39" s="4" t="s">
        <v>433</v>
      </c>
      <c r="B39" s="4"/>
      <c r="C39" s="4"/>
      <c r="D39" s="4"/>
      <c r="E39" s="4"/>
      <c r="F39" s="4"/>
      <c r="G39" s="4"/>
      <c r="H39" s="4"/>
      <c r="I39" s="4"/>
      <c r="J39" s="194"/>
      <c r="L39" s="5" t="str">
        <f>IF(J39="YES",VLOOKUP(A39,'Drop Down Options'!$Q$41:$R$46,2,FALSE),"")</f>
        <v/>
      </c>
      <c r="M39" s="5" t="e">
        <f>'2. Post-restoration Likelihood'!$C$46</f>
        <v>#N/A</v>
      </c>
      <c r="N39" s="183" t="str">
        <f t="shared" si="0"/>
        <v>Please answer question</v>
      </c>
      <c r="O39" s="2"/>
      <c r="P39" s="5"/>
      <c r="Q39" s="5"/>
      <c r="R39" s="5"/>
    </row>
    <row r="40" spans="1:20">
      <c r="A40" s="4"/>
      <c r="B40" s="4"/>
      <c r="C40" s="4"/>
      <c r="D40" s="4"/>
      <c r="E40" s="4"/>
      <c r="F40" s="4"/>
      <c r="G40" s="4"/>
      <c r="H40" s="4"/>
      <c r="I40" s="4"/>
      <c r="J40" s="4"/>
      <c r="L40" s="5"/>
      <c r="M40" s="5"/>
      <c r="N40" s="184"/>
      <c r="O40" s="5"/>
      <c r="P40" s="5"/>
      <c r="Q40" s="5"/>
      <c r="R40" s="5"/>
    </row>
    <row r="41" spans="1:20">
      <c r="A41" s="7" t="s">
        <v>378</v>
      </c>
      <c r="B41" s="4"/>
      <c r="C41" s="4"/>
      <c r="D41" s="4"/>
      <c r="E41" s="4"/>
      <c r="F41" s="4"/>
      <c r="G41" s="4"/>
      <c r="H41" s="4"/>
      <c r="I41" s="4"/>
      <c r="J41" s="5"/>
      <c r="L41" s="5"/>
      <c r="M41" s="5"/>
      <c r="N41" s="184"/>
      <c r="O41" s="5"/>
      <c r="P41" s="5"/>
      <c r="Q41" s="5"/>
      <c r="R41" s="5"/>
    </row>
    <row r="42" spans="1:20">
      <c r="A42" s="4" t="s">
        <v>370</v>
      </c>
      <c r="B42" s="4"/>
      <c r="C42" s="4"/>
      <c r="D42" s="4"/>
      <c r="E42" s="4"/>
      <c r="F42" s="4"/>
      <c r="G42" s="4"/>
      <c r="H42" s="4"/>
      <c r="I42" s="4"/>
      <c r="J42" s="194"/>
      <c r="L42" s="5" t="str">
        <f>IF(J42="YES",VLOOKUP(A42,'Drop Down Options'!$Q$50:$R$51,2,FALSE),"")</f>
        <v/>
      </c>
      <c r="M42" s="5" t="e">
        <f>'2. Post-restoration Likelihood'!$C$46</f>
        <v>#N/A</v>
      </c>
      <c r="N42" s="183" t="str">
        <f>IF(J42="","Please answer question",IF(AND(M42="VERY LOW",L42="VERY LOW"),"NEGLIGIBLE",IF(AND(M42="VERY LOW",L42="LOW"),"NEGLIGIBLE",IF(AND(M42="VERY LOW",L42="MODERATE"),"NEGLIGIBLE",IF(AND(M42="VERY LOW",L42="HIGH"),"NEGLIGIBLE",IF(AND(M42="VERY LOW",L42="VERY HIGH"),"LOW",IF(AND(M42="LOW",L42="VERY LOW"),"NEGLIGIBLE",IF(AND(M42="LOW",L42="LOW"),"NEGLIGIBLE",IF(AND(M42="LOW",L42="MODERATE"),"LOW",IF(AND(M42="LOW",L42="HIGH"),"LOW",IF(AND(M42="LOW",L42="VERY HIGH"),"LOW",IF(AND(M42="MODERATE",L42="VERY LOW"),"NEGLIGIBLE",IF(AND(M42="MODERATE",L42="LOW"),"LOW",IF(AND(M42="MODERATE",L42="MODERATE"),"LOW",IF(AND(M42="MODERATE",L42="HIGH"),"MEDIUM",IF(AND(M42="MODERATE",L42="VERY HIGH"),"MEDIUM",IF(AND(M42="HIGH",L42="VERY LOW"),"NEGLIGIBLE",IF(AND(M42="HIGH",L42="LOW"),"LOW",IF(AND(M42="HIGH",L42="MODERATE"),"MEDIUM",IF(AND(M42="HIGH",L42="HIGH"),"MEDIUM",IF(AND(M42="HIGH",L42="VERY HIGH"),"HIGH",IF(AND(M42="VERY HIGH",L42="VERY LOW"),"LOW",IF(AND(M42="VERY HIGH",L42="LOW"),"LOW",IF(AND(M42="VERY HIGH",L42="MODERATE"),"MEDIUM",IF(AND(M42="VERY HIGH",L42="HIGH"),"HIGH",IF(AND(M42="VERY HIGH",L42="VERY HIGH"),"HIGH","Not applicable"))))))))))))))))))))))))))</f>
        <v>Please answer question</v>
      </c>
      <c r="O42" s="5"/>
      <c r="P42" s="5"/>
      <c r="Q42" s="5"/>
      <c r="R42" s="5"/>
    </row>
    <row r="43" spans="1:20">
      <c r="A43" s="4" t="s">
        <v>371</v>
      </c>
      <c r="B43" s="4"/>
      <c r="C43" s="4"/>
      <c r="D43" s="4"/>
      <c r="E43" s="4"/>
      <c r="F43" s="4"/>
      <c r="G43" s="4"/>
      <c r="H43" s="4"/>
      <c r="I43" s="4"/>
      <c r="J43" s="194"/>
      <c r="L43" s="5" t="str">
        <f>IF(J43="YES",VLOOKUP(A43,'Drop Down Options'!$Q$50:$R$51,2,FALSE),"")</f>
        <v/>
      </c>
      <c r="M43" s="5" t="e">
        <f>'2. Post-restoration Likelihood'!$C$46</f>
        <v>#N/A</v>
      </c>
      <c r="N43" s="183" t="str">
        <f>IF(J43="","Please answer question",IF(AND(M43="VERY LOW",L43="VERY LOW"),"NEGLIGIBLE",IF(AND(M43="VERY LOW",L43="LOW"),"NEGLIGIBLE",IF(AND(M43="VERY LOW",L43="MODERATE"),"NEGLIGIBLE",IF(AND(M43="VERY LOW",L43="HIGH"),"NEGLIGIBLE",IF(AND(M43="VERY LOW",L43="VERY HIGH"),"LOW",IF(AND(M43="LOW",L43="VERY LOW"),"NEGLIGIBLE",IF(AND(M43="LOW",L43="LOW"),"NEGLIGIBLE",IF(AND(M43="LOW",L43="MODERATE"),"LOW",IF(AND(M43="LOW",L43="HIGH"),"LOW",IF(AND(M43="LOW",L43="VERY HIGH"),"LOW",IF(AND(M43="MODERATE",L43="VERY LOW"),"NEGLIGIBLE",IF(AND(M43="MODERATE",L43="LOW"),"LOW",IF(AND(M43="MODERATE",L43="MODERATE"),"LOW",IF(AND(M43="MODERATE",L43="HIGH"),"MEDIUM",IF(AND(M43="MODERATE",L43="VERY HIGH"),"MEDIUM",IF(AND(M43="HIGH",L43="VERY LOW"),"NEGLIGIBLE",IF(AND(M43="HIGH",L43="LOW"),"LOW",IF(AND(M43="HIGH",L43="MODERATE"),"MEDIUM",IF(AND(M43="HIGH",L43="HIGH"),"MEDIUM",IF(AND(M43="HIGH",L43="VERY HIGH"),"HIGH",IF(AND(M43="VERY HIGH",L43="VERY LOW"),"LOW",IF(AND(M43="VERY HIGH",L43="LOW"),"LOW",IF(AND(M43="VERY HIGH",L43="MODERATE"),"MEDIUM",IF(AND(M43="VERY HIGH",L43="HIGH"),"HIGH",IF(AND(M43="VERY HIGH",L43="VERY HIGH"),"HIGH","Not applicable"))))))))))))))))))))))))))</f>
        <v>Please answer question</v>
      </c>
      <c r="O43" s="5"/>
      <c r="P43" s="5"/>
      <c r="Q43" s="4"/>
      <c r="R43" s="4"/>
    </row>
    <row r="44" spans="1:20">
      <c r="A44" s="4"/>
      <c r="B44" s="4"/>
      <c r="C44" s="4"/>
      <c r="D44" s="4"/>
      <c r="E44" s="4"/>
      <c r="F44" s="4"/>
      <c r="G44" s="4"/>
      <c r="H44" s="4"/>
      <c r="I44" s="4"/>
      <c r="J44" s="5"/>
      <c r="L44" s="5"/>
      <c r="M44" s="5"/>
      <c r="N44" s="184"/>
      <c r="O44" s="5"/>
      <c r="P44" s="4"/>
      <c r="Q44" s="4"/>
      <c r="R44" s="4"/>
    </row>
    <row r="45" spans="1:20">
      <c r="A45" s="4" t="s">
        <v>428</v>
      </c>
      <c r="B45" s="4"/>
      <c r="C45" s="4"/>
      <c r="D45" s="4"/>
      <c r="E45" s="4"/>
      <c r="F45" s="4"/>
      <c r="G45" s="4"/>
      <c r="H45" s="4"/>
      <c r="I45" s="4"/>
      <c r="J45" s="5"/>
      <c r="L45" s="5"/>
      <c r="M45" s="5"/>
      <c r="N45" s="183" t="str">
        <f>IF(COUNTIF($N$4:$N$43,"Please answer question")&gt;0,"Please answer all questions",IF(COUNTIF($N$7:$N$43,"HIGH")&gt;0,"HIGH",IF(COUNTIF($N$7:$N$43,"MEDIUM")&gt;0,"MEDIUM",IF(COUNTIF($N$7:$N$43,"LOW")&gt;0,"LOW","NEGLIGIBLE"))))</f>
        <v>Please answer all questions</v>
      </c>
      <c r="O45" s="4"/>
      <c r="P45" s="4"/>
      <c r="Q45" s="4"/>
      <c r="R45" s="4"/>
    </row>
    <row r="46" spans="1:20">
      <c r="A46" s="4"/>
      <c r="B46" s="4"/>
      <c r="C46" s="4"/>
      <c r="D46" s="4"/>
      <c r="E46" s="4"/>
      <c r="F46" s="4"/>
      <c r="G46" s="4"/>
      <c r="H46" s="4"/>
      <c r="I46" s="4"/>
      <c r="J46" s="5"/>
      <c r="L46" s="5"/>
      <c r="M46" s="5"/>
      <c r="N46" s="4"/>
      <c r="O46" s="4"/>
      <c r="P46" s="4"/>
      <c r="Q46" s="4"/>
      <c r="R46" s="4"/>
    </row>
    <row r="47" spans="1:20">
      <c r="A47" s="185" t="str">
        <f>IF(N45="Please answer all questions","",VLOOKUP(N45,'Drop Down Options'!P61:Q64,2,FALSE))</f>
        <v/>
      </c>
      <c r="B47" s="186"/>
      <c r="C47" s="186"/>
      <c r="D47" s="186"/>
      <c r="E47" s="186"/>
      <c r="F47" s="186"/>
      <c r="G47" s="186"/>
      <c r="H47" s="186"/>
      <c r="I47" s="186"/>
      <c r="J47" s="187"/>
      <c r="K47" s="186"/>
      <c r="L47" s="184"/>
      <c r="M47" s="184"/>
      <c r="N47" s="178"/>
      <c r="O47" s="178"/>
      <c r="P47" s="4"/>
      <c r="Q47" s="4"/>
      <c r="R47" s="4"/>
    </row>
    <row r="48" spans="1:20">
      <c r="A48" s="186"/>
      <c r="B48" s="186"/>
      <c r="C48" s="186"/>
      <c r="D48" s="186"/>
      <c r="E48" s="186"/>
      <c r="F48" s="186"/>
      <c r="G48" s="186"/>
      <c r="H48" s="186"/>
      <c r="I48" s="186"/>
      <c r="J48" s="187"/>
      <c r="K48" s="186"/>
      <c r="L48" s="184"/>
      <c r="M48" s="184"/>
      <c r="N48" s="178"/>
      <c r="O48" s="188"/>
      <c r="P48" s="4"/>
      <c r="Q48" s="4"/>
      <c r="R48" s="4"/>
    </row>
    <row r="49" spans="1:18" ht="15" customHeight="1">
      <c r="A49" s="208" t="str">
        <f>IF(N45="Please answer all questions","",IF(N45="NEGLIGIBLE","",IF(N45="LOW","",VLOOKUP(N45,'Drop Down Options'!P67:Q68,2,FALSE))))</f>
        <v/>
      </c>
      <c r="B49" s="208"/>
      <c r="C49" s="208"/>
      <c r="D49" s="208"/>
      <c r="E49" s="208"/>
      <c r="F49" s="208"/>
      <c r="G49" s="208"/>
      <c r="H49" s="208"/>
      <c r="I49" s="208"/>
      <c r="J49" s="208"/>
      <c r="K49" s="208"/>
      <c r="L49" s="208"/>
      <c r="M49" s="208"/>
      <c r="N49" s="208"/>
      <c r="O49" s="208"/>
      <c r="P49" s="4"/>
      <c r="Q49" s="4"/>
      <c r="R49" s="4"/>
    </row>
    <row r="50" spans="1:18">
      <c r="A50" s="208"/>
      <c r="B50" s="208"/>
      <c r="C50" s="208"/>
      <c r="D50" s="208"/>
      <c r="E50" s="208"/>
      <c r="F50" s="208"/>
      <c r="G50" s="208"/>
      <c r="H50" s="208"/>
      <c r="I50" s="208"/>
      <c r="J50" s="208"/>
      <c r="K50" s="208"/>
      <c r="L50" s="208"/>
      <c r="M50" s="208"/>
      <c r="N50" s="208"/>
      <c r="O50" s="208"/>
      <c r="P50" s="4"/>
      <c r="Q50" s="4"/>
      <c r="R50" s="4"/>
    </row>
    <row r="51" spans="1:18">
      <c r="A51" s="188"/>
      <c r="B51" s="188"/>
      <c r="C51" s="188"/>
      <c r="D51" s="188"/>
      <c r="E51" s="188"/>
      <c r="F51" s="188"/>
      <c r="G51" s="188"/>
      <c r="H51" s="188"/>
      <c r="I51" s="188"/>
      <c r="J51" s="188"/>
      <c r="K51" s="188"/>
      <c r="L51" s="188"/>
      <c r="M51" s="188"/>
      <c r="N51" s="188"/>
      <c r="O51" s="178"/>
      <c r="P51" s="4"/>
      <c r="Q51" s="4"/>
      <c r="R51" s="4"/>
    </row>
    <row r="52" spans="1:18">
      <c r="A52" s="178"/>
      <c r="B52" s="178"/>
      <c r="C52" s="178"/>
      <c r="D52" s="178"/>
      <c r="E52" s="178"/>
      <c r="F52" s="178"/>
      <c r="G52" s="178"/>
      <c r="H52" s="178"/>
      <c r="I52" s="178"/>
      <c r="J52" s="184"/>
      <c r="K52" s="178"/>
      <c r="L52" s="184"/>
      <c r="M52" s="184"/>
      <c r="N52" s="178"/>
      <c r="O52" s="178"/>
      <c r="P52" s="4"/>
      <c r="Q52" s="4"/>
      <c r="R52" s="4"/>
    </row>
    <row r="53" spans="1:18">
      <c r="A53" s="178"/>
      <c r="B53" s="178"/>
      <c r="C53" s="178"/>
      <c r="D53" s="178"/>
      <c r="E53" s="178"/>
      <c r="F53" s="178"/>
      <c r="G53" s="178"/>
      <c r="H53" s="178"/>
      <c r="I53" s="178"/>
      <c r="J53" s="184"/>
      <c r="K53" s="178"/>
      <c r="L53" s="184"/>
      <c r="M53" s="184"/>
      <c r="N53" s="178"/>
      <c r="O53" s="178"/>
      <c r="P53" s="4"/>
      <c r="Q53" s="4"/>
      <c r="R53" s="4"/>
    </row>
    <row r="54" spans="1:18">
      <c r="A54" s="4"/>
      <c r="B54" s="4"/>
      <c r="C54" s="4"/>
      <c r="D54" s="4"/>
      <c r="E54" s="4"/>
      <c r="F54" s="4"/>
      <c r="G54" s="4"/>
      <c r="H54" s="4"/>
      <c r="I54" s="4"/>
      <c r="J54" s="5"/>
      <c r="L54" s="5"/>
      <c r="M54" s="5"/>
      <c r="N54" s="4"/>
      <c r="O54" s="4"/>
      <c r="P54" s="4"/>
      <c r="Q54" s="4"/>
      <c r="R54" s="4"/>
    </row>
    <row r="55" spans="1:18">
      <c r="A55" s="4"/>
      <c r="B55" s="4"/>
      <c r="C55" s="4"/>
      <c r="D55" s="4"/>
      <c r="E55" s="4"/>
      <c r="F55" s="4"/>
      <c r="G55" s="4"/>
      <c r="H55" s="4"/>
      <c r="I55" s="4"/>
      <c r="J55" s="5"/>
      <c r="L55" s="5"/>
      <c r="M55" s="5"/>
      <c r="N55" s="4"/>
      <c r="O55" s="4"/>
      <c r="P55" s="4"/>
      <c r="Q55" s="4"/>
      <c r="R55" s="4"/>
    </row>
    <row r="56" spans="1:18">
      <c r="A56" s="4"/>
      <c r="B56" s="4"/>
      <c r="C56" s="4"/>
      <c r="D56" s="4"/>
      <c r="E56" s="4"/>
      <c r="F56" s="4"/>
      <c r="G56" s="4"/>
      <c r="H56" s="4"/>
      <c r="I56" s="4"/>
      <c r="J56" s="5"/>
      <c r="L56" s="5"/>
      <c r="M56" s="5"/>
      <c r="N56" s="4"/>
      <c r="O56" s="4"/>
      <c r="P56" s="4"/>
      <c r="Q56" s="4"/>
      <c r="R56" s="4"/>
    </row>
    <row r="57" spans="1:18">
      <c r="A57" s="4"/>
      <c r="B57" s="4"/>
      <c r="C57" s="4"/>
      <c r="D57" s="4"/>
      <c r="E57" s="4"/>
      <c r="F57" s="4"/>
      <c r="G57" s="4"/>
      <c r="H57" s="4"/>
      <c r="I57" s="4"/>
      <c r="J57" s="5"/>
      <c r="L57" s="5"/>
      <c r="M57" s="5"/>
      <c r="N57" s="4"/>
      <c r="O57" s="4"/>
      <c r="P57" s="4"/>
      <c r="Q57" s="4"/>
      <c r="R57" s="4"/>
    </row>
    <row r="58" spans="1:18">
      <c r="A58" s="4"/>
      <c r="B58" s="4"/>
      <c r="C58" s="4"/>
      <c r="D58" s="4"/>
      <c r="E58" s="4"/>
      <c r="F58" s="4"/>
      <c r="G58" s="4"/>
      <c r="H58" s="4"/>
      <c r="I58" s="4"/>
      <c r="J58" s="5"/>
      <c r="L58" s="5"/>
      <c r="M58" s="5"/>
      <c r="N58" s="4"/>
      <c r="O58" s="4"/>
      <c r="P58" s="4"/>
      <c r="Q58" s="4"/>
      <c r="R58" s="4"/>
    </row>
    <row r="59" spans="1:18">
      <c r="A59" s="4"/>
      <c r="B59" s="4"/>
      <c r="C59" s="4"/>
      <c r="D59" s="4"/>
      <c r="E59" s="4"/>
      <c r="F59" s="4"/>
      <c r="G59" s="4"/>
      <c r="H59" s="4"/>
      <c r="I59" s="4"/>
      <c r="J59" s="5"/>
      <c r="L59" s="5"/>
      <c r="M59" s="5"/>
      <c r="N59" s="4"/>
      <c r="O59" s="4"/>
      <c r="P59" s="4"/>
      <c r="Q59" s="4"/>
      <c r="R59" s="4"/>
    </row>
    <row r="60" spans="1:18">
      <c r="A60" s="4"/>
      <c r="B60" s="4"/>
      <c r="C60" s="4"/>
      <c r="D60" s="4"/>
      <c r="E60" s="4"/>
      <c r="F60" s="4"/>
      <c r="G60" s="4"/>
      <c r="H60" s="4"/>
      <c r="I60" s="4"/>
      <c r="J60" s="5"/>
      <c r="L60" s="5"/>
      <c r="M60" s="5"/>
      <c r="N60" s="4"/>
      <c r="O60" s="4"/>
      <c r="P60" s="4"/>
      <c r="Q60" s="4"/>
      <c r="R60" s="4"/>
    </row>
    <row r="61" spans="1:18">
      <c r="A61" s="4"/>
      <c r="B61" s="4"/>
      <c r="C61" s="4"/>
      <c r="D61" s="4"/>
      <c r="E61" s="4"/>
      <c r="F61" s="4"/>
      <c r="G61" s="4"/>
      <c r="H61" s="4"/>
      <c r="I61" s="4"/>
      <c r="J61" s="5"/>
      <c r="L61" s="5"/>
      <c r="M61" s="5"/>
      <c r="N61" s="4"/>
      <c r="O61" s="4"/>
      <c r="P61" s="4"/>
      <c r="Q61" s="4"/>
      <c r="R61" s="4"/>
    </row>
    <row r="62" spans="1:18" s="4" customFormat="1">
      <c r="J62" s="5"/>
      <c r="L62" s="5"/>
      <c r="M62" s="5"/>
    </row>
    <row r="63" spans="1:18" s="4" customFormat="1">
      <c r="J63" s="5"/>
      <c r="L63" s="5"/>
      <c r="M63" s="5"/>
    </row>
    <row r="64" spans="1:18" s="4" customFormat="1">
      <c r="J64" s="5"/>
      <c r="L64" s="5"/>
      <c r="M64" s="5"/>
    </row>
    <row r="65" spans="10:13" s="4" customFormat="1">
      <c r="J65" s="5"/>
      <c r="L65" s="5"/>
      <c r="M65" s="5"/>
    </row>
    <row r="66" spans="10:13" s="4" customFormat="1">
      <c r="J66" s="5"/>
      <c r="L66" s="5"/>
      <c r="M66" s="5"/>
    </row>
    <row r="67" spans="10:13" s="4" customFormat="1">
      <c r="J67" s="5"/>
      <c r="L67" s="5"/>
      <c r="M67" s="5"/>
    </row>
    <row r="68" spans="10:13" s="4" customFormat="1">
      <c r="J68" s="5"/>
      <c r="L68" s="5"/>
      <c r="M68" s="5"/>
    </row>
    <row r="69" spans="10:13" s="4" customFormat="1">
      <c r="J69" s="5"/>
      <c r="L69" s="5"/>
      <c r="M69" s="5"/>
    </row>
    <row r="70" spans="10:13" s="4" customFormat="1">
      <c r="J70" s="5"/>
      <c r="L70" s="5"/>
      <c r="M70" s="5"/>
    </row>
    <row r="71" spans="10:13" s="4" customFormat="1">
      <c r="J71" s="5"/>
      <c r="L71" s="5"/>
      <c r="M71" s="5"/>
    </row>
    <row r="72" spans="10:13" s="4" customFormat="1">
      <c r="J72" s="5"/>
      <c r="L72" s="5"/>
      <c r="M72" s="5"/>
    </row>
    <row r="73" spans="10:13" s="4" customFormat="1">
      <c r="J73" s="5"/>
      <c r="L73" s="5"/>
      <c r="M73" s="5"/>
    </row>
    <row r="74" spans="10:13" s="4" customFormat="1">
      <c r="J74" s="5"/>
      <c r="L74" s="5"/>
      <c r="M74" s="5"/>
    </row>
    <row r="75" spans="10:13" s="4" customFormat="1">
      <c r="J75" s="5"/>
      <c r="L75" s="5"/>
      <c r="M75" s="5"/>
    </row>
    <row r="76" spans="10:13" s="4" customFormat="1">
      <c r="J76" s="5"/>
      <c r="L76" s="5"/>
      <c r="M76" s="5"/>
    </row>
    <row r="77" spans="10:13" s="4" customFormat="1">
      <c r="J77" s="5"/>
      <c r="L77" s="5"/>
      <c r="M77" s="5"/>
    </row>
    <row r="78" spans="10:13" s="4" customFormat="1">
      <c r="J78" s="5"/>
      <c r="L78" s="5"/>
      <c r="M78" s="5"/>
    </row>
    <row r="79" spans="10:13" s="4" customFormat="1">
      <c r="J79" s="5"/>
      <c r="L79" s="5"/>
      <c r="M79" s="5"/>
    </row>
    <row r="80" spans="10:13" s="4" customFormat="1">
      <c r="J80" s="5"/>
      <c r="L80" s="5"/>
      <c r="M80" s="5"/>
    </row>
    <row r="81" spans="10:13" s="4" customFormat="1">
      <c r="J81" s="5"/>
      <c r="L81" s="5"/>
      <c r="M81" s="5"/>
    </row>
    <row r="82" spans="10:13" s="4" customFormat="1">
      <c r="J82" s="5"/>
      <c r="L82" s="5"/>
      <c r="M82" s="5"/>
    </row>
    <row r="83" spans="10:13" s="4" customFormat="1">
      <c r="J83" s="5"/>
      <c r="L83" s="5"/>
      <c r="M83" s="5"/>
    </row>
    <row r="84" spans="10:13" s="4" customFormat="1">
      <c r="J84" s="5"/>
      <c r="L84" s="5"/>
      <c r="M84" s="5"/>
    </row>
    <row r="85" spans="10:13" s="4" customFormat="1">
      <c r="J85" s="5"/>
      <c r="L85" s="5"/>
      <c r="M85" s="5"/>
    </row>
    <row r="86" spans="10:13" s="4" customFormat="1">
      <c r="J86" s="5"/>
      <c r="L86" s="5"/>
      <c r="M86" s="5"/>
    </row>
    <row r="87" spans="10:13" s="4" customFormat="1">
      <c r="J87" s="5"/>
      <c r="L87" s="5"/>
      <c r="M87" s="5"/>
    </row>
    <row r="88" spans="10:13" s="4" customFormat="1">
      <c r="J88" s="5"/>
      <c r="L88" s="5"/>
      <c r="M88" s="5"/>
    </row>
    <row r="89" spans="10:13" s="4" customFormat="1">
      <c r="J89" s="5"/>
      <c r="L89" s="5"/>
      <c r="M89" s="5"/>
    </row>
    <row r="90" spans="10:13" s="4" customFormat="1">
      <c r="J90" s="5"/>
      <c r="L90" s="5"/>
      <c r="M90" s="5"/>
    </row>
    <row r="91" spans="10:13" s="4" customFormat="1">
      <c r="J91" s="5"/>
      <c r="L91" s="5"/>
      <c r="M91" s="5"/>
    </row>
    <row r="92" spans="10:13" s="4" customFormat="1">
      <c r="J92" s="5"/>
      <c r="L92" s="5"/>
      <c r="M92" s="5"/>
    </row>
    <row r="93" spans="10:13" s="4" customFormat="1">
      <c r="J93" s="5"/>
      <c r="L93" s="5"/>
      <c r="M93" s="5"/>
    </row>
    <row r="94" spans="10:13" s="4" customFormat="1">
      <c r="J94" s="5"/>
      <c r="L94" s="5"/>
      <c r="M94" s="5"/>
    </row>
    <row r="95" spans="10:13" s="4" customFormat="1">
      <c r="J95" s="5"/>
      <c r="L95" s="5"/>
      <c r="M95" s="5"/>
    </row>
    <row r="96" spans="10:13" s="4" customFormat="1">
      <c r="J96" s="5"/>
      <c r="L96" s="5"/>
      <c r="M96" s="5"/>
    </row>
    <row r="97" spans="10:13" s="4" customFormat="1">
      <c r="J97" s="5"/>
      <c r="L97" s="5"/>
      <c r="M97" s="5"/>
    </row>
    <row r="98" spans="10:13" s="4" customFormat="1">
      <c r="J98" s="5"/>
      <c r="L98" s="5"/>
      <c r="M98" s="5"/>
    </row>
    <row r="99" spans="10:13" s="4" customFormat="1">
      <c r="J99" s="5"/>
      <c r="L99" s="5"/>
      <c r="M99" s="5"/>
    </row>
    <row r="100" spans="10:13" s="4" customFormat="1">
      <c r="J100" s="5"/>
      <c r="L100" s="5"/>
      <c r="M100" s="5"/>
    </row>
    <row r="101" spans="10:13" s="4" customFormat="1">
      <c r="J101" s="5"/>
      <c r="L101" s="5"/>
      <c r="M101" s="5"/>
    </row>
    <row r="102" spans="10:13" s="4" customFormat="1">
      <c r="J102" s="5"/>
      <c r="L102" s="5"/>
      <c r="M102" s="5"/>
    </row>
    <row r="103" spans="10:13" s="4" customFormat="1">
      <c r="J103" s="5"/>
      <c r="L103" s="5"/>
      <c r="M103" s="5"/>
    </row>
    <row r="104" spans="10:13" s="4" customFormat="1">
      <c r="J104" s="5"/>
      <c r="L104" s="5"/>
      <c r="M104" s="5"/>
    </row>
    <row r="105" spans="10:13" s="4" customFormat="1">
      <c r="J105" s="5"/>
      <c r="L105" s="5"/>
      <c r="M105" s="5"/>
    </row>
    <row r="106" spans="10:13" s="4" customFormat="1">
      <c r="J106" s="5"/>
      <c r="L106" s="5"/>
      <c r="M106" s="5"/>
    </row>
    <row r="107" spans="10:13" s="4" customFormat="1">
      <c r="J107" s="5"/>
      <c r="L107" s="5"/>
      <c r="M107" s="5"/>
    </row>
    <row r="108" spans="10:13" s="4" customFormat="1">
      <c r="J108" s="5"/>
      <c r="L108" s="5"/>
      <c r="M108" s="5"/>
    </row>
    <row r="109" spans="10:13" s="4" customFormat="1">
      <c r="J109" s="5"/>
      <c r="L109" s="5"/>
      <c r="M109" s="5"/>
    </row>
    <row r="110" spans="10:13" s="4" customFormat="1">
      <c r="J110" s="5"/>
      <c r="L110" s="5"/>
      <c r="M110" s="5"/>
    </row>
  </sheetData>
  <sheetProtection algorithmName="SHA-512" hashValue="hDz2WJhb5m1WPdOWrFeRMcmL3HvA4cabC54xz5vBQ5lTjJV3iuG6ZIpe3ruhUUL1Mo3IRNw6mLx3QMeFgzBeFg==" saltValue="1KHXeCJoxrKblX9u2Hk9OQ==" spinCount="100000" sheet="1" objects="1" scenarios="1"/>
  <customSheetViews>
    <customSheetView guid="{29A0FFCF-8AE3-4D83-B2A0-5792604909C6}" scale="90" hiddenColumns="1">
      <selection activeCell="J43" sqref="J43"/>
      <pageMargins left="0.7" right="0.7" top="0.75" bottom="0.75" header="0.3" footer="0.3"/>
      <pageSetup paperSize="9" orientation="portrait" r:id="rId1"/>
    </customSheetView>
    <customSheetView guid="{F17311CF-9914-40DA-8951-266454DC12F5}" scale="90" hiddenColumns="1">
      <selection activeCell="J43" sqref="J43"/>
      <pageMargins left="0.7" right="0.7" top="0.75" bottom="0.75" header="0.3" footer="0.3"/>
      <pageSetup paperSize="9" orientation="portrait" r:id="rId2"/>
    </customSheetView>
    <customSheetView guid="{FC848FF0-660B-4750-8525-7139E9D1F87C}" scale="90" hiddenColumns="1">
      <selection activeCell="J43" sqref="J43"/>
      <pageMargins left="0.7" right="0.7" top="0.75" bottom="0.75" header="0.3" footer="0.3"/>
      <pageSetup paperSize="9" orientation="portrait" r:id="rId3"/>
    </customSheetView>
    <customSheetView guid="{F08D193B-2F97-40D9-A4DD-4A4E62D6CC62}" scale="90" hiddenColumns="1">
      <selection activeCell="J43" sqref="J43"/>
      <pageMargins left="0.7" right="0.7" top="0.75" bottom="0.75" header="0.3" footer="0.3"/>
      <pageSetup paperSize="9" orientation="portrait" r:id="rId4"/>
    </customSheetView>
    <customSheetView guid="{B7C3FE13-4183-40D1-BE36-A4B701770209}" scale="90" hiddenColumns="1">
      <selection activeCell="J43" sqref="J43"/>
      <pageMargins left="0.7" right="0.7" top="0.75" bottom="0.75" header="0.3" footer="0.3"/>
      <pageSetup paperSize="9" orientation="portrait" r:id="rId5"/>
    </customSheetView>
  </customSheetViews>
  <mergeCells count="8">
    <mergeCell ref="A49:O50"/>
    <mergeCell ref="A21:I21"/>
    <mergeCell ref="A22:I22"/>
    <mergeCell ref="A29:I29"/>
    <mergeCell ref="A10:I11"/>
    <mergeCell ref="A14:I14"/>
    <mergeCell ref="A15:I15"/>
    <mergeCell ref="A16:I17"/>
  </mergeCells>
  <conditionalFormatting sqref="K7:K9">
    <cfRule type="expression" dxfId="36" priority="128">
      <formula>$J$4="NO"</formula>
    </cfRule>
  </conditionalFormatting>
  <conditionalFormatting sqref="K11">
    <cfRule type="expression" dxfId="35" priority="136">
      <formula>$J$4="NO"</formula>
    </cfRule>
  </conditionalFormatting>
  <conditionalFormatting sqref="K15">
    <cfRule type="expression" dxfId="34" priority="52">
      <formula>$J$4="NO"</formula>
    </cfRule>
  </conditionalFormatting>
  <conditionalFormatting sqref="K20">
    <cfRule type="expression" dxfId="33" priority="43">
      <formula>$J$4="NO"</formula>
    </cfRule>
  </conditionalFormatting>
  <conditionalFormatting sqref="K28">
    <cfRule type="expression" dxfId="32" priority="26">
      <formula>$J$4="NO"</formula>
    </cfRule>
  </conditionalFormatting>
  <conditionalFormatting sqref="N7:N11 N14:N16 N45">
    <cfRule type="cellIs" dxfId="31" priority="105" operator="equal">
      <formula>"HIGH"</formula>
    </cfRule>
    <cfRule type="cellIs" dxfId="30" priority="106" operator="equal">
      <formula>"Please answer all questions"</formula>
    </cfRule>
    <cfRule type="cellIs" dxfId="29" priority="107" operator="equal">
      <formula>"MEDIUM"</formula>
    </cfRule>
    <cfRule type="cellIs" dxfId="28" priority="108" operator="equal">
      <formula>"LOW"</formula>
    </cfRule>
  </conditionalFormatting>
  <conditionalFormatting sqref="N7:N11">
    <cfRule type="cellIs" dxfId="27" priority="102" operator="equal">
      <formula>"NEGLIGIBLE"</formula>
    </cfRule>
  </conditionalFormatting>
  <conditionalFormatting sqref="N14:N16">
    <cfRule type="cellIs" dxfId="26" priority="49" operator="equal">
      <formula>"NEGLIGIBLE"</formula>
    </cfRule>
  </conditionalFormatting>
  <conditionalFormatting sqref="N20:N25">
    <cfRule type="cellIs" dxfId="25" priority="32" operator="equal">
      <formula>"NEGLIGIBLE"</formula>
    </cfRule>
    <cfRule type="cellIs" dxfId="24" priority="36" operator="equal">
      <formula>"HIGH"</formula>
    </cfRule>
    <cfRule type="cellIs" dxfId="23" priority="37" operator="equal">
      <formula>"LOW / NEGLIGIBLE"</formula>
    </cfRule>
    <cfRule type="cellIs" dxfId="22" priority="38" operator="equal">
      <formula>"MEDIUM"</formula>
    </cfRule>
    <cfRule type="cellIs" dxfId="21" priority="39" operator="equal">
      <formula>"LOW"</formula>
    </cfRule>
  </conditionalFormatting>
  <conditionalFormatting sqref="N28:N31">
    <cfRule type="cellIs" dxfId="20" priority="15" operator="equal">
      <formula>"NEGLIGIBLE"</formula>
    </cfRule>
    <cfRule type="cellIs" dxfId="19" priority="19" operator="equal">
      <formula>"HIGH"</formula>
    </cfRule>
    <cfRule type="cellIs" dxfId="18" priority="20" operator="equal">
      <formula>"LOW / NEGLIGIBLE"</formula>
    </cfRule>
    <cfRule type="cellIs" dxfId="17" priority="21" operator="equal">
      <formula>"MEDIUM"</formula>
    </cfRule>
    <cfRule type="cellIs" dxfId="16" priority="22" operator="equal">
      <formula>"LOW"</formula>
    </cfRule>
  </conditionalFormatting>
  <conditionalFormatting sqref="N34:N40">
    <cfRule type="cellIs" dxfId="15" priority="67" operator="equal">
      <formula>"HIGH"</formula>
    </cfRule>
    <cfRule type="cellIs" dxfId="14" priority="68" operator="equal">
      <formula>"LOW / NEGLIGIBLE"</formula>
    </cfRule>
    <cfRule type="cellIs" dxfId="13" priority="69" operator="equal">
      <formula>"MEDIUM"</formula>
    </cfRule>
    <cfRule type="cellIs" dxfId="12" priority="70" operator="equal">
      <formula>"LOW"</formula>
    </cfRule>
    <cfRule type="cellIs" dxfId="11" priority="104" operator="equal">
      <formula>"NEGLIGIBLE"</formula>
    </cfRule>
  </conditionalFormatting>
  <conditionalFormatting sqref="N42:N43">
    <cfRule type="cellIs" dxfId="10" priority="1" operator="equal">
      <formula>"NEGLIGIBLE"</formula>
    </cfRule>
    <cfRule type="cellIs" dxfId="9" priority="4" operator="equal">
      <formula>"HIGH"</formula>
    </cfRule>
    <cfRule type="cellIs" dxfId="8" priority="5" operator="equal">
      <formula>"LOW / NEGLIGIBLE"</formula>
    </cfRule>
    <cfRule type="cellIs" dxfId="7" priority="6" operator="equal">
      <formula>"MEDIUM"</formula>
    </cfRule>
    <cfRule type="cellIs" dxfId="6" priority="7" operator="equal">
      <formula>"LOW"</formula>
    </cfRule>
  </conditionalFormatting>
  <conditionalFormatting sqref="N45">
    <cfRule type="cellIs" dxfId="5" priority="98" operator="equal">
      <formula>"NEGLIGIBLE"</formula>
    </cfRule>
  </conditionalFormatting>
  <pageMargins left="0.7" right="0.7" top="0.75" bottom="0.75" header="0.3" footer="0.3"/>
  <pageSetup paperSize="9" orientation="portrait" r:id="rId6"/>
  <drawing r:id="rId7"/>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'Drop Down Options'!$R$6:$R$7</xm:f>
          </x14:formula1>
          <xm:sqref>J4</xm:sqref>
        </x14:dataValidation>
        <x14:dataValidation type="list" allowBlank="1" showInputMessage="1" showErrorMessage="1" xr:uid="{00000000-0002-0000-0300-000001000000}">
          <x14:formula1>
            <xm:f>'Drop Down Options'!$R$9:$R$10</xm:f>
          </x14:formula1>
          <xm:sqref>J8:J10 J14:J16 J20:J22 J28:J29</xm:sqref>
        </x14:dataValidation>
        <x14:dataValidation type="list" allowBlank="1" showInputMessage="1" showErrorMessage="1" xr:uid="{00000000-0002-0000-0300-000002000000}">
          <x14:formula1>
            <xm:f>'Drop Down Options'!$Q$31:$Q$32</xm:f>
          </x14:formula1>
          <xm:sqref>J30:J31</xm:sqref>
        </x14:dataValidation>
        <x14:dataValidation type="list" allowBlank="1" showInputMessage="1" showErrorMessage="1" xr:uid="{00000000-0002-0000-0300-000003000000}">
          <x14:formula1>
            <xm:f>'Drop Down Options'!$Q$38:$Q$39</xm:f>
          </x14:formula1>
          <xm:sqref>J42:J43 J34:J40</xm:sqref>
        </x14:dataValidation>
        <x14:dataValidation type="list" allowBlank="1" showInputMessage="1" showErrorMessage="1" xr:uid="{00000000-0002-0000-0300-000004000000}">
          <x14:formula1>
            <xm:f>'Drop Down Options'!$Q$23:$Q$24</xm:f>
          </x14:formula1>
          <xm:sqref>J23:J25</xm:sqref>
        </x14:dataValidation>
        <x14:dataValidation type="list" allowBlank="1" showInputMessage="1" showErrorMessage="1" xr:uid="{00000000-0002-0000-0300-000005000000}">
          <x14:formula1>
            <xm:f>'Drop Down Options'!$Q$13:$Q$15</xm:f>
          </x14:formula1>
          <xm:sqref>J7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4"/>
  <sheetViews>
    <sheetView zoomScaleNormal="100" workbookViewId="0">
      <selection activeCell="M5" sqref="M5"/>
    </sheetView>
  </sheetViews>
  <sheetFormatPr defaultColWidth="9.140625" defaultRowHeight="15"/>
  <cols>
    <col min="1" max="5" width="9.140625" style="4"/>
    <col min="6" max="6" width="9.7109375" style="4" customWidth="1"/>
    <col min="7" max="7" width="11.85546875" style="4" customWidth="1"/>
    <col min="8" max="8" width="9.140625" style="4"/>
    <col min="9" max="9" width="10.42578125" style="4" customWidth="1"/>
    <col min="10" max="10" width="9.140625" style="4"/>
    <col min="11" max="11" width="9.140625" style="4" hidden="1" customWidth="1"/>
    <col min="12" max="13" width="9.140625" style="4" customWidth="1"/>
    <col min="14" max="16384" width="9.140625" style="4"/>
  </cols>
  <sheetData>
    <row r="1" spans="1:15" ht="15.75" customHeight="1">
      <c r="A1" s="252" t="s">
        <v>289</v>
      </c>
      <c r="B1" s="252"/>
      <c r="C1" s="252"/>
      <c r="D1" s="252"/>
      <c r="E1" s="252"/>
      <c r="F1" s="252"/>
    </row>
    <row r="2" spans="1:15">
      <c r="A2" s="252"/>
      <c r="B2" s="252"/>
      <c r="C2" s="252"/>
      <c r="D2" s="252"/>
      <c r="E2" s="252"/>
      <c r="F2" s="252"/>
    </row>
    <row r="4" spans="1:15">
      <c r="A4" s="4" t="s">
        <v>291</v>
      </c>
      <c r="D4" s="246"/>
      <c r="E4" s="247"/>
      <c r="F4" s="248"/>
    </row>
    <row r="5" spans="1:15">
      <c r="A5" s="4" t="s">
        <v>290</v>
      </c>
      <c r="D5" s="246"/>
      <c r="E5" s="247"/>
      <c r="F5" s="248"/>
    </row>
    <row r="6" spans="1:15">
      <c r="A6" s="4" t="s">
        <v>292</v>
      </c>
      <c r="D6" s="246"/>
      <c r="E6" s="247"/>
      <c r="F6" s="248"/>
    </row>
    <row r="7" spans="1:15">
      <c r="A7" s="4" t="s">
        <v>293</v>
      </c>
      <c r="D7" s="246"/>
      <c r="E7" s="247"/>
      <c r="F7" s="248"/>
    </row>
    <row r="9" spans="1:15">
      <c r="A9" s="4" t="s">
        <v>294</v>
      </c>
      <c r="D9" s="246"/>
      <c r="E9" s="247"/>
      <c r="F9" s="248"/>
    </row>
    <row r="10" spans="1:15">
      <c r="A10" s="4" t="s">
        <v>462</v>
      </c>
      <c r="D10" s="246"/>
      <c r="E10" s="247"/>
      <c r="F10" s="248"/>
    </row>
    <row r="11" spans="1:15">
      <c r="A11" s="4" t="s">
        <v>295</v>
      </c>
      <c r="D11" s="249"/>
      <c r="E11" s="250"/>
      <c r="F11" s="251"/>
    </row>
    <row r="12" spans="1:15">
      <c r="D12" s="207"/>
      <c r="E12" s="49"/>
      <c r="F12" s="49"/>
    </row>
    <row r="13" spans="1:15">
      <c r="A13" s="4" t="s">
        <v>421</v>
      </c>
      <c r="D13" s="249"/>
      <c r="E13" s="250"/>
      <c r="F13" s="251"/>
    </row>
    <row r="14" spans="1:15">
      <c r="A14" s="4" t="s">
        <v>422</v>
      </c>
      <c r="D14" s="249"/>
      <c r="E14" s="250"/>
      <c r="F14" s="251"/>
    </row>
    <row r="15" spans="1:15">
      <c r="A15" s="30"/>
      <c r="B15" s="30"/>
      <c r="C15" s="30"/>
      <c r="D15" s="30"/>
      <c r="E15" s="30"/>
      <c r="F15" s="30"/>
      <c r="G15" s="30"/>
      <c r="H15" s="30"/>
      <c r="I15" s="30"/>
      <c r="O15" s="23"/>
    </row>
    <row r="17" spans="1:15">
      <c r="A17" s="6" t="s">
        <v>296</v>
      </c>
    </row>
    <row r="18" spans="1:15">
      <c r="A18" s="4" t="s">
        <v>297</v>
      </c>
      <c r="G18" s="253" t="e">
        <f>'1. Pre-Restoration Likelihood'!H137</f>
        <v>#N/A</v>
      </c>
      <c r="H18" s="254"/>
      <c r="I18" s="254"/>
    </row>
    <row r="19" spans="1:15">
      <c r="A19" s="4" t="s">
        <v>299</v>
      </c>
      <c r="G19" s="255" t="str">
        <f>'1. Pre-Restoration Likelihood'!L142</f>
        <v>Too few parameters to calculate</v>
      </c>
      <c r="H19" s="255"/>
      <c r="I19" s="255"/>
    </row>
    <row r="21" spans="1:15">
      <c r="A21" s="4" t="s">
        <v>300</v>
      </c>
      <c r="G21" s="257"/>
      <c r="H21" s="257"/>
      <c r="I21" s="257"/>
    </row>
    <row r="22" spans="1:15">
      <c r="A22" s="20" t="s">
        <v>460</v>
      </c>
      <c r="G22" s="257"/>
      <c r="H22" s="257"/>
      <c r="I22" s="257"/>
    </row>
    <row r="23" spans="1:15">
      <c r="G23" s="257"/>
      <c r="H23" s="257"/>
      <c r="I23" s="257"/>
    </row>
    <row r="24" spans="1:15">
      <c r="G24" s="257"/>
      <c r="H24" s="257"/>
      <c r="I24" s="257"/>
    </row>
    <row r="25" spans="1:15">
      <c r="A25" s="6" t="s">
        <v>314</v>
      </c>
    </row>
    <row r="26" spans="1:15">
      <c r="A26" s="4" t="s">
        <v>301</v>
      </c>
      <c r="H26" s="254" t="e">
        <f>'2. Post-restoration Likelihood'!C46</f>
        <v>#N/A</v>
      </c>
      <c r="I26" s="254"/>
    </row>
    <row r="27" spans="1:15">
      <c r="A27" s="4" t="s">
        <v>302</v>
      </c>
      <c r="H27" s="255" t="str">
        <f>'2. Post-restoration Likelihood'!E50</f>
        <v>Too few parameters to calculate</v>
      </c>
      <c r="I27" s="255"/>
    </row>
    <row r="29" spans="1:15">
      <c r="A29" s="6" t="s">
        <v>303</v>
      </c>
    </row>
    <row r="30" spans="1:15">
      <c r="A30" s="4" t="s">
        <v>304</v>
      </c>
      <c r="H30" s="254" t="s">
        <v>305</v>
      </c>
      <c r="I30" s="254"/>
    </row>
    <row r="32" spans="1:15">
      <c r="A32" s="6" t="s">
        <v>307</v>
      </c>
      <c r="K32" s="206"/>
      <c r="L32" s="23"/>
      <c r="M32" s="23"/>
      <c r="N32" s="23"/>
      <c r="O32" s="23"/>
    </row>
    <row r="33" spans="1:18">
      <c r="A33" s="257"/>
      <c r="B33" s="257"/>
      <c r="C33" s="257"/>
      <c r="D33" s="257"/>
      <c r="E33" s="257"/>
      <c r="F33" s="257"/>
      <c r="G33" s="257"/>
      <c r="H33" s="257"/>
      <c r="I33" s="257"/>
      <c r="K33" s="23"/>
      <c r="L33" s="23"/>
      <c r="M33" s="23"/>
      <c r="N33" s="23"/>
      <c r="O33" s="23"/>
    </row>
    <row r="34" spans="1:18">
      <c r="A34" s="257"/>
      <c r="B34" s="257"/>
      <c r="C34" s="257"/>
      <c r="D34" s="257"/>
      <c r="E34" s="257"/>
      <c r="F34" s="257"/>
      <c r="G34" s="257"/>
      <c r="H34" s="257"/>
      <c r="I34" s="257"/>
      <c r="K34" s="23"/>
      <c r="L34" s="23"/>
      <c r="M34" s="23"/>
      <c r="N34" s="23"/>
      <c r="O34" s="23"/>
    </row>
    <row r="35" spans="1:18">
      <c r="A35" s="257"/>
      <c r="B35" s="257"/>
      <c r="C35" s="257"/>
      <c r="D35" s="257"/>
      <c r="E35" s="257"/>
      <c r="F35" s="257"/>
      <c r="G35" s="257"/>
      <c r="H35" s="257"/>
      <c r="I35" s="257"/>
      <c r="K35" s="23"/>
      <c r="L35" s="23"/>
      <c r="M35" s="23"/>
      <c r="N35" s="23"/>
      <c r="O35" s="23"/>
    </row>
    <row r="36" spans="1:18">
      <c r="A36" s="257"/>
      <c r="B36" s="257"/>
      <c r="C36" s="257"/>
      <c r="D36" s="257"/>
      <c r="E36" s="257"/>
      <c r="F36" s="257"/>
      <c r="G36" s="257"/>
      <c r="H36" s="257"/>
      <c r="I36" s="257"/>
      <c r="K36" s="23"/>
      <c r="L36" s="23"/>
      <c r="M36" s="23"/>
      <c r="N36" s="23"/>
      <c r="O36" s="23"/>
    </row>
    <row r="37" spans="1:18">
      <c r="A37" s="257"/>
      <c r="B37" s="257"/>
      <c r="C37" s="257"/>
      <c r="D37" s="257"/>
      <c r="E37" s="257"/>
      <c r="F37" s="257"/>
      <c r="G37" s="257"/>
      <c r="H37" s="257"/>
      <c r="I37" s="257"/>
      <c r="K37" s="23"/>
      <c r="L37" s="23"/>
      <c r="M37" s="23"/>
      <c r="N37" s="23"/>
      <c r="O37" s="23"/>
    </row>
    <row r="38" spans="1:18">
      <c r="K38" s="23"/>
      <c r="L38" s="23"/>
      <c r="M38" s="23"/>
      <c r="N38" s="23"/>
      <c r="O38" s="23"/>
    </row>
    <row r="39" spans="1:18">
      <c r="A39" s="6" t="s">
        <v>308</v>
      </c>
      <c r="K39" s="23"/>
      <c r="L39" s="23"/>
      <c r="M39" s="23"/>
      <c r="N39" s="23"/>
      <c r="O39" s="23"/>
    </row>
    <row r="40" spans="1:18" ht="15" customHeight="1">
      <c r="A40" s="218" t="s">
        <v>461</v>
      </c>
      <c r="B40" s="218"/>
      <c r="C40" s="218"/>
      <c r="D40" s="218"/>
      <c r="E40" s="256"/>
      <c r="F40" s="259"/>
      <c r="G40" s="259"/>
      <c r="H40" s="259"/>
      <c r="I40" s="259"/>
      <c r="K40" s="23"/>
      <c r="L40" s="23"/>
      <c r="M40" s="23"/>
      <c r="N40" s="23"/>
      <c r="O40" s="23"/>
    </row>
    <row r="41" spans="1:18">
      <c r="A41" s="218"/>
      <c r="B41" s="218"/>
      <c r="C41" s="218"/>
      <c r="D41" s="218"/>
      <c r="E41" s="256"/>
      <c r="F41" s="257"/>
      <c r="G41" s="257"/>
      <c r="H41" s="257"/>
      <c r="I41" s="257"/>
      <c r="K41" s="23"/>
      <c r="L41" s="23"/>
      <c r="M41" s="23"/>
      <c r="N41" s="23"/>
      <c r="O41" s="23"/>
    </row>
    <row r="42" spans="1:18">
      <c r="A42" s="9"/>
      <c r="B42" s="9"/>
      <c r="C42" s="9"/>
      <c r="D42" s="9"/>
      <c r="E42" s="9"/>
      <c r="F42" s="257"/>
      <c r="G42" s="257"/>
      <c r="H42" s="257"/>
      <c r="I42" s="257"/>
      <c r="K42" s="23"/>
      <c r="L42" s="23"/>
      <c r="M42" s="23"/>
      <c r="N42" s="23"/>
      <c r="O42" s="23"/>
    </row>
    <row r="43" spans="1:18">
      <c r="A43" s="9"/>
      <c r="B43" s="9"/>
      <c r="C43" s="9"/>
      <c r="D43" s="9"/>
      <c r="E43" s="9"/>
      <c r="F43" s="23"/>
      <c r="G43" s="23"/>
      <c r="H43" s="23"/>
      <c r="I43" s="23"/>
      <c r="K43" s="23"/>
      <c r="L43" s="23"/>
      <c r="M43" s="23"/>
      <c r="N43" s="23"/>
      <c r="O43" s="23"/>
    </row>
    <row r="44" spans="1:18" ht="15" customHeight="1">
      <c r="A44" s="218" t="s">
        <v>427</v>
      </c>
      <c r="B44" s="218"/>
      <c r="C44" s="218"/>
      <c r="D44" s="218"/>
      <c r="E44" s="218"/>
      <c r="F44" s="260" t="str">
        <f>IF('3. Consequence and Risk'!N45="Please answer all questions", "Not yet applicable", IF(OR('3. Consequence and Risk'!N45="MEDIUM",'3. Consequence and Risk'!N45="LOW",'3. Consequence and Risk'!N45="NEGLIGIBLE"),IF(OR(D13="10,000 - 20,000",D13="20,000 - 30,000",D13="30,000 - 40,000",D13="40,000 - 50,000",D13="50,000 - 60,000",D13="60,000 - 70,000",D13="70,000 - 80,000",D13="80,000 - 90,000",D13="90,000 - 100,000",D13="&gt; 100,000"), "The benefits of restoration are likely to exceed the risks associated with landslides", IF(OR(D13="5,000 - 10,000", D13="10,000 - 20,000",D13="20,000 - 30,000",D13="30,000 - 40,000",D13="40,000 - 50,000",D13="50,000 - 60,000",D13="60,000 - 70,000",D13="70,000 - 80,000",D13="80,000 - 90,000",D13="90,000 - 100,000",D13="&gt; 100,000"), IF(OR(D14="0.0 - 0.5",D14="0.5 - 1.0",D14="1.0 - 1.5"),"The benefits of restoration are likely to exceed the risks associated with landslides", "The impacts of potential slope instability may equal or exceed the benefits of restoration"),"The impacts of potential slope instability may equal or exceed the benefits of restoration")), "The impacts of potential slope instability may equal or exceed the benefits of restoration"))</f>
        <v>Not yet applicable</v>
      </c>
      <c r="G44" s="261"/>
      <c r="H44" s="261"/>
      <c r="I44" s="262"/>
      <c r="K44" s="23" t="e" cm="1">
        <f t="array" aca="1" ref="K44" ca="1">CELL("row",INDEX('Drop Down Options'!$U$17:$U$28,MATCH($D$13,'Drop Down Options'!$U$17:$U$28,0),1))</f>
        <v>#N/A</v>
      </c>
      <c r="L44" s="23"/>
      <c r="M44" s="23"/>
      <c r="N44" s="23"/>
      <c r="O44" s="23"/>
    </row>
    <row r="45" spans="1:18">
      <c r="A45" s="218"/>
      <c r="B45" s="218"/>
      <c r="C45" s="218"/>
      <c r="D45" s="218"/>
      <c r="E45" s="218"/>
      <c r="F45" s="263"/>
      <c r="G45" s="264"/>
      <c r="H45" s="264"/>
      <c r="I45" s="265"/>
      <c r="K45" s="23" t="e" cm="1">
        <f t="array" aca="1" ref="K45" ca="1">CELL("col",INDEX('Drop Down Options'!$V$16:$AB$16,1,MATCH($D$14,'Drop Down Options'!$V$16:$AB$16,0)))</f>
        <v>#N/A</v>
      </c>
      <c r="L45" s="23"/>
      <c r="M45" s="23"/>
      <c r="N45" s="23"/>
      <c r="O45" s="23"/>
    </row>
    <row r="46" spans="1:18">
      <c r="A46" s="30"/>
      <c r="B46" s="30"/>
      <c r="C46" s="30"/>
      <c r="D46" s="30"/>
      <c r="E46" s="30"/>
      <c r="F46" s="30"/>
      <c r="G46" s="30"/>
      <c r="H46" s="30"/>
      <c r="I46" s="30"/>
      <c r="K46" s="23"/>
      <c r="L46" s="23"/>
      <c r="M46" s="23"/>
      <c r="N46" s="23"/>
      <c r="O46" s="23"/>
    </row>
    <row r="47" spans="1:18">
      <c r="K47" s="23"/>
      <c r="L47" s="23"/>
      <c r="M47" s="23"/>
      <c r="N47" s="23"/>
      <c r="O47" s="23"/>
    </row>
    <row r="48" spans="1:18">
      <c r="A48" s="6" t="s">
        <v>423</v>
      </c>
      <c r="K48" s="23"/>
      <c r="L48" s="23"/>
      <c r="M48" s="23"/>
      <c r="N48" s="23"/>
      <c r="O48" s="23"/>
      <c r="P48" s="23"/>
      <c r="Q48" s="23"/>
      <c r="R48" s="23"/>
    </row>
    <row r="49" spans="1:18">
      <c r="A49" s="258" t="s">
        <v>424</v>
      </c>
      <c r="B49" s="258"/>
      <c r="C49" s="258"/>
      <c r="D49" s="258"/>
      <c r="E49" s="258"/>
      <c r="F49" s="258"/>
      <c r="G49" s="258"/>
      <c r="H49" s="258"/>
      <c r="I49" s="258"/>
      <c r="K49" s="23"/>
      <c r="L49" s="23"/>
      <c r="M49" s="23"/>
      <c r="N49" s="23"/>
      <c r="O49" s="23"/>
      <c r="P49" s="23"/>
      <c r="Q49" s="23"/>
      <c r="R49" s="23"/>
    </row>
    <row r="50" spans="1:18">
      <c r="A50" s="258"/>
      <c r="B50" s="258"/>
      <c r="C50" s="258"/>
      <c r="D50" s="258"/>
      <c r="E50" s="258"/>
      <c r="F50" s="258"/>
      <c r="G50" s="258"/>
      <c r="H50" s="258"/>
      <c r="I50" s="258"/>
      <c r="K50" s="23"/>
      <c r="L50" s="23"/>
      <c r="M50" s="23"/>
      <c r="N50" s="23"/>
      <c r="O50" s="23"/>
      <c r="P50" s="23"/>
      <c r="Q50" s="23"/>
      <c r="R50" s="23"/>
    </row>
    <row r="51" spans="1:18">
      <c r="A51" s="258"/>
      <c r="B51" s="258"/>
      <c r="C51" s="258"/>
      <c r="D51" s="258"/>
      <c r="E51" s="258"/>
      <c r="F51" s="258"/>
      <c r="G51" s="258"/>
      <c r="H51" s="258"/>
      <c r="I51" s="258"/>
      <c r="K51" s="23"/>
      <c r="L51" s="23"/>
      <c r="M51" s="23"/>
      <c r="N51" s="23"/>
      <c r="O51" s="23"/>
      <c r="P51" s="23"/>
      <c r="Q51" s="23"/>
      <c r="R51" s="23"/>
    </row>
    <row r="52" spans="1:18">
      <c r="A52" s="258"/>
      <c r="B52" s="258"/>
      <c r="C52" s="258"/>
      <c r="D52" s="258"/>
      <c r="E52" s="258"/>
      <c r="F52" s="258"/>
      <c r="G52" s="258"/>
      <c r="H52" s="258"/>
      <c r="I52" s="258"/>
      <c r="K52" s="23"/>
      <c r="L52" s="23"/>
      <c r="M52" s="23"/>
      <c r="N52" s="23"/>
      <c r="O52" s="23"/>
      <c r="P52" s="23"/>
      <c r="Q52" s="23"/>
      <c r="R52" s="23"/>
    </row>
    <row r="53" spans="1:18">
      <c r="A53" s="258"/>
      <c r="B53" s="258"/>
      <c r="C53" s="258"/>
      <c r="D53" s="258"/>
      <c r="E53" s="258"/>
      <c r="F53" s="258"/>
      <c r="G53" s="258"/>
      <c r="H53" s="258"/>
      <c r="I53" s="258"/>
      <c r="K53" s="23"/>
      <c r="L53" s="23"/>
      <c r="M53" s="23"/>
      <c r="N53" s="23"/>
      <c r="O53" s="23"/>
      <c r="P53" s="23"/>
      <c r="Q53" s="23"/>
      <c r="R53" s="23"/>
    </row>
    <row r="54" spans="1:18">
      <c r="A54" s="4" t="s">
        <v>298</v>
      </c>
      <c r="C54" s="4" t="str">
        <f ca="1">MID(CELL("filename"),SEARCH("[",CELL("filename"))+1, SEARCH("]",CELL("filename"))-SEARCH("[",CELL("filename"))-1)</f>
        <v>peatlandaction-blanket-bog-protocol-v1.4.1-issue-february-2026.xlsx</v>
      </c>
    </row>
  </sheetData>
  <sheetProtection algorithmName="SHA-512" hashValue="1SvF+qWuwcnoU3bEzILDpgyeSXahgc4Oy/QHs4QmwuQ9ZI9r7daPspHtf9vXktmkUtTgq/tjFWpltdfMUdjOEQ==" saltValue="cPESwkSqPAGF1eiaum8K+g==" spinCount="100000" sheet="1" objects="1" scenarios="1"/>
  <customSheetViews>
    <customSheetView guid="{29A0FFCF-8AE3-4D83-B2A0-5792604909C6}" hiddenColumns="1">
      <selection activeCell="J48" sqref="J48"/>
      <pageMargins left="0.70866141732283472" right="0.70866141732283472" top="0.55118110236220474" bottom="0.35433070866141736" header="0.31496062992125984" footer="0.31496062992125984"/>
      <pageSetup paperSize="9" orientation="portrait" r:id="rId1"/>
    </customSheetView>
    <customSheetView guid="{F17311CF-9914-40DA-8951-266454DC12F5}" hiddenColumns="1">
      <selection activeCell="J48" sqref="J48"/>
      <pageMargins left="0.70866141732283472" right="0.70866141732283472" top="0.55118110236220474" bottom="0.35433070866141736" header="0.31496062992125984" footer="0.31496062992125984"/>
      <pageSetup paperSize="9" orientation="portrait" r:id="rId2"/>
    </customSheetView>
    <customSheetView guid="{FC848FF0-660B-4750-8525-7139E9D1F87C}" hiddenColumns="1">
      <selection activeCell="J48" sqref="J48"/>
      <pageMargins left="0.70866141732283472" right="0.70866141732283472" top="0.55118110236220474" bottom="0.35433070866141736" header="0.31496062992125984" footer="0.31496062992125984"/>
      <pageSetup paperSize="9" orientation="portrait" r:id="rId3"/>
    </customSheetView>
    <customSheetView guid="{F08D193B-2F97-40D9-A4DD-4A4E62D6CC62}" hiddenColumns="1">
      <selection activeCell="J48" sqref="J48"/>
      <pageMargins left="0.70866141732283472" right="0.70866141732283472" top="0.55118110236220474" bottom="0.35433070866141736" header="0.31496062992125984" footer="0.31496062992125984"/>
      <pageSetup paperSize="9" orientation="portrait" r:id="rId4"/>
    </customSheetView>
    <customSheetView guid="{B7C3FE13-4183-40D1-BE36-A4B701770209}" hiddenColumns="1">
      <selection activeCell="J48" sqref="J48"/>
      <pageMargins left="0.70866141732283472" right="0.70866141732283472" top="0.55118110236220474" bottom="0.35433070866141736" header="0.31496062992125984" footer="0.31496062992125984"/>
      <pageSetup paperSize="9" orientation="portrait" r:id="rId5"/>
    </customSheetView>
  </customSheetViews>
  <mergeCells count="31">
    <mergeCell ref="A49:I53"/>
    <mergeCell ref="G21:I21"/>
    <mergeCell ref="H26:I26"/>
    <mergeCell ref="G22:I22"/>
    <mergeCell ref="G23:I23"/>
    <mergeCell ref="G24:I24"/>
    <mergeCell ref="F41:I41"/>
    <mergeCell ref="F40:I40"/>
    <mergeCell ref="A33:I33"/>
    <mergeCell ref="A44:E45"/>
    <mergeCell ref="F44:I45"/>
    <mergeCell ref="F42:I42"/>
    <mergeCell ref="G19:I19"/>
    <mergeCell ref="A40:E41"/>
    <mergeCell ref="A34:I34"/>
    <mergeCell ref="A35:I35"/>
    <mergeCell ref="D13:F13"/>
    <mergeCell ref="D14:F14"/>
    <mergeCell ref="A36:I36"/>
    <mergeCell ref="A37:I37"/>
    <mergeCell ref="H27:I27"/>
    <mergeCell ref="H30:I30"/>
    <mergeCell ref="D9:F9"/>
    <mergeCell ref="D10:F10"/>
    <mergeCell ref="D11:F11"/>
    <mergeCell ref="A1:F2"/>
    <mergeCell ref="G18:I18"/>
    <mergeCell ref="D4:F4"/>
    <mergeCell ref="D5:F5"/>
    <mergeCell ref="D6:F6"/>
    <mergeCell ref="D7:F7"/>
  </mergeCells>
  <pageMargins left="0.70866141732283472" right="0.70866141732283472" top="0.55118110236220474" bottom="0.35433070866141736" header="0.31496062992125984" footer="0.31496062992125984"/>
  <pageSetup paperSize="9" orientation="portrait" r:id="rId6"/>
  <drawing r:id="rId7"/>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'Drop Down Options'!$V$10:$V$11</xm:f>
          </x14:formula1>
          <xm:sqref>H30:I30</xm:sqref>
        </x14:dataValidation>
        <x14:dataValidation type="list" allowBlank="1" showInputMessage="1" showErrorMessage="1" xr:uid="{00000000-0002-0000-0400-000001000000}">
          <x14:formula1>
            <xm:f>'Drop Down Options'!$U$17:$U$28</xm:f>
          </x14:formula1>
          <xm:sqref>D13:F13</xm:sqref>
        </x14:dataValidation>
        <x14:dataValidation type="list" allowBlank="1" showInputMessage="1" showErrorMessage="1" xr:uid="{00000000-0002-0000-0400-000002000000}">
          <x14:formula1>
            <xm:f>'Drop Down Options'!$V$16:$AB$16</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24"/>
  <sheetViews>
    <sheetView topLeftCell="J7" workbookViewId="0">
      <selection activeCell="U30" sqref="U30:U34"/>
    </sheetView>
  </sheetViews>
  <sheetFormatPr defaultRowHeight="15"/>
  <cols>
    <col min="3" max="3" width="15.28515625" customWidth="1"/>
    <col min="4" max="4" width="34.140625" customWidth="1"/>
    <col min="5" max="5" width="18.42578125" customWidth="1"/>
    <col min="6" max="6" width="19.5703125" customWidth="1"/>
    <col min="7" max="9" width="15.7109375" customWidth="1"/>
    <col min="10" max="10" width="13.140625" customWidth="1"/>
    <col min="11" max="11" width="10.140625" customWidth="1"/>
    <col min="14" max="14" width="16.140625" customWidth="1"/>
    <col min="15" max="15" width="18.140625" customWidth="1"/>
    <col min="16" max="16" width="19.28515625" customWidth="1"/>
    <col min="17" max="17" width="91.28515625" customWidth="1"/>
    <col min="18" max="19" width="29.42578125" bestFit="1" customWidth="1"/>
    <col min="20" max="20" width="80.140625" customWidth="1"/>
    <col min="21" max="21" width="22.5703125" customWidth="1"/>
    <col min="22" max="28" width="11.7109375" customWidth="1"/>
  </cols>
  <sheetData>
    <row r="1" spans="1:28">
      <c r="A1" s="1" t="s">
        <v>341</v>
      </c>
    </row>
    <row r="2" spans="1:28">
      <c r="A2" t="s">
        <v>342</v>
      </c>
    </row>
    <row r="4" spans="1:28">
      <c r="A4" s="110" t="s">
        <v>62</v>
      </c>
      <c r="B4" s="92"/>
      <c r="C4" s="92"/>
      <c r="D4" s="92"/>
      <c r="E4" s="92"/>
      <c r="F4" s="92"/>
      <c r="G4" s="92"/>
      <c r="H4" s="111" t="s">
        <v>61</v>
      </c>
      <c r="I4" s="92"/>
      <c r="J4" s="92"/>
      <c r="K4" s="92"/>
      <c r="L4" s="92"/>
      <c r="M4" s="92"/>
      <c r="N4" s="92"/>
      <c r="O4" s="92"/>
      <c r="P4" s="111" t="s">
        <v>126</v>
      </c>
      <c r="Q4" s="92"/>
      <c r="R4" s="92"/>
      <c r="S4" s="92"/>
      <c r="U4" s="110" t="s">
        <v>309</v>
      </c>
      <c r="V4" s="92"/>
    </row>
    <row r="5" spans="1:28">
      <c r="A5" s="1"/>
      <c r="H5" s="108"/>
      <c r="P5" s="109"/>
    </row>
    <row r="6" spans="1:28">
      <c r="A6" s="100" t="s">
        <v>340</v>
      </c>
      <c r="B6" s="101"/>
      <c r="C6" s="101"/>
      <c r="D6" s="60"/>
      <c r="E6" s="59" t="s">
        <v>28</v>
      </c>
      <c r="F6" s="59" t="s">
        <v>29</v>
      </c>
      <c r="H6" s="109"/>
      <c r="P6" s="113" t="s">
        <v>132</v>
      </c>
      <c r="Q6" s="101"/>
      <c r="R6" s="60" t="s">
        <v>5</v>
      </c>
    </row>
    <row r="7" spans="1:28">
      <c r="A7" s="97"/>
      <c r="D7" s="60" t="s">
        <v>5</v>
      </c>
      <c r="E7" s="61">
        <v>4</v>
      </c>
      <c r="F7" s="61">
        <v>4</v>
      </c>
      <c r="H7" s="109"/>
      <c r="P7" s="108"/>
      <c r="R7" s="60" t="s">
        <v>6</v>
      </c>
    </row>
    <row r="8" spans="1:28">
      <c r="A8" s="1"/>
      <c r="D8" s="60" t="s">
        <v>6</v>
      </c>
      <c r="E8" s="61">
        <v>0</v>
      </c>
      <c r="F8" s="61">
        <v>0</v>
      </c>
      <c r="H8" s="109"/>
      <c r="P8" s="108"/>
    </row>
    <row r="9" spans="1:28">
      <c r="P9" s="113" t="s">
        <v>320</v>
      </c>
      <c r="Q9" s="101"/>
      <c r="R9" s="60" t="s">
        <v>5</v>
      </c>
      <c r="U9" s="1" t="s">
        <v>303</v>
      </c>
    </row>
    <row r="10" spans="1:28">
      <c r="A10" s="1"/>
      <c r="P10" s="109"/>
      <c r="R10" s="60" t="s">
        <v>6</v>
      </c>
      <c r="V10" t="s">
        <v>305</v>
      </c>
    </row>
    <row r="11" spans="1:28">
      <c r="A11" s="100" t="s">
        <v>336</v>
      </c>
      <c r="B11" s="101"/>
      <c r="C11" s="101"/>
      <c r="D11" s="98" t="s">
        <v>151</v>
      </c>
      <c r="E11" s="267" t="s">
        <v>152</v>
      </c>
      <c r="F11" s="267"/>
      <c r="G11" s="267"/>
      <c r="H11" s="59" t="s">
        <v>28</v>
      </c>
      <c r="I11" s="59" t="s">
        <v>29</v>
      </c>
      <c r="J11" s="59" t="s">
        <v>228</v>
      </c>
      <c r="P11" s="113" t="s">
        <v>14</v>
      </c>
      <c r="Q11" s="101"/>
      <c r="V11" t="s">
        <v>306</v>
      </c>
    </row>
    <row r="12" spans="1:28">
      <c r="A12" s="97"/>
      <c r="D12" s="99" t="s">
        <v>120</v>
      </c>
      <c r="E12" s="74">
        <v>0</v>
      </c>
      <c r="F12" s="74">
        <f>(TAN(RADIANS(2.5)))*100</f>
        <v>4.3660942908512057</v>
      </c>
      <c r="G12" s="61" t="str">
        <f t="shared" ref="G12:G17" si="0">ROUND(E12,1) &amp; " - " &amp; ROUND(F12,1)</f>
        <v>0 - 4.4</v>
      </c>
      <c r="H12" s="61">
        <v>1</v>
      </c>
      <c r="I12" s="61">
        <v>3</v>
      </c>
      <c r="J12" s="61">
        <v>2.5</v>
      </c>
      <c r="P12" s="109"/>
      <c r="Q12" s="67" t="s">
        <v>389</v>
      </c>
      <c r="R12" s="67" t="s">
        <v>3</v>
      </c>
    </row>
    <row r="13" spans="1:28">
      <c r="A13" s="97"/>
      <c r="D13" s="99" t="s">
        <v>115</v>
      </c>
      <c r="E13" s="74">
        <f>(TAN(RADIANS(2.5)))*100</f>
        <v>4.3660942908512057</v>
      </c>
      <c r="F13" s="74">
        <f>(TAN(RADIANS(5)))*100</f>
        <v>8.7488663525924011</v>
      </c>
      <c r="G13" s="61" t="str">
        <f t="shared" si="0"/>
        <v>4.4 - 8.7</v>
      </c>
      <c r="H13" s="61">
        <v>1</v>
      </c>
      <c r="I13" s="61">
        <v>3</v>
      </c>
      <c r="J13" s="61">
        <v>5</v>
      </c>
      <c r="P13" s="109"/>
      <c r="Q13" s="67" t="s">
        <v>379</v>
      </c>
      <c r="R13" s="67" t="s">
        <v>3</v>
      </c>
    </row>
    <row r="14" spans="1:28">
      <c r="A14" s="1"/>
      <c r="D14" s="99" t="s">
        <v>116</v>
      </c>
      <c r="E14" s="74">
        <f>(TAN(RADIANS(5)))*100</f>
        <v>8.7488663525924011</v>
      </c>
      <c r="F14" s="74">
        <f>(TAN(RADIANS(7.5)))*100</f>
        <v>13.165249758739584</v>
      </c>
      <c r="G14" s="61" t="str">
        <f t="shared" si="0"/>
        <v>8.7 - 13.2</v>
      </c>
      <c r="H14" s="61">
        <v>3</v>
      </c>
      <c r="I14" s="61">
        <v>2</v>
      </c>
      <c r="J14" s="61">
        <v>7.5</v>
      </c>
      <c r="P14" s="109"/>
      <c r="Q14" s="67" t="s">
        <v>380</v>
      </c>
      <c r="R14" s="67" t="s">
        <v>17</v>
      </c>
    </row>
    <row r="15" spans="1:28">
      <c r="A15" s="1"/>
      <c r="D15" s="99" t="s">
        <v>119</v>
      </c>
      <c r="E15" s="74">
        <f>(TAN(RADIANS(7.5)))*100</f>
        <v>13.165249758739584</v>
      </c>
      <c r="F15" s="74">
        <f>(TAN(RADIANS(10)))*100</f>
        <v>17.632698070846498</v>
      </c>
      <c r="G15" s="61" t="str">
        <f t="shared" si="0"/>
        <v>13.2 - 17.6</v>
      </c>
      <c r="H15" s="61">
        <v>3</v>
      </c>
      <c r="I15" s="61">
        <v>1</v>
      </c>
      <c r="J15" s="61">
        <v>10</v>
      </c>
      <c r="P15" s="109"/>
      <c r="Q15" s="67" t="s">
        <v>6</v>
      </c>
      <c r="R15" s="67"/>
      <c r="U15" s="2"/>
      <c r="V15" s="156">
        <v>35125</v>
      </c>
      <c r="W15" s="156">
        <v>70250</v>
      </c>
      <c r="X15" s="156">
        <v>95250</v>
      </c>
      <c r="Y15" s="156">
        <v>120250</v>
      </c>
      <c r="Z15" s="156">
        <v>145250</v>
      </c>
      <c r="AA15" s="156">
        <v>170250</v>
      </c>
      <c r="AB15" s="156">
        <v>220250</v>
      </c>
    </row>
    <row r="16" spans="1:28">
      <c r="A16" s="97"/>
      <c r="D16" s="99" t="s">
        <v>117</v>
      </c>
      <c r="E16" s="74">
        <f>(TAN(RADIANS(10)))*100</f>
        <v>17.632698070846498</v>
      </c>
      <c r="F16" s="74">
        <f>(TAN(RADIANS(12.5)))*100</f>
        <v>22.169466264293987</v>
      </c>
      <c r="G16" s="61" t="str">
        <f t="shared" si="0"/>
        <v>17.6 - 22.2</v>
      </c>
      <c r="H16" s="61">
        <v>3</v>
      </c>
      <c r="I16" s="61">
        <v>1</v>
      </c>
      <c r="J16" s="61">
        <v>12.5</v>
      </c>
      <c r="P16" s="109"/>
      <c r="Q16" s="60" t="s">
        <v>390</v>
      </c>
      <c r="R16" s="60" t="s">
        <v>18</v>
      </c>
      <c r="U16" s="149" t="s">
        <v>399</v>
      </c>
      <c r="V16" s="149" t="s">
        <v>114</v>
      </c>
      <c r="W16" s="157" t="s">
        <v>96</v>
      </c>
      <c r="X16" s="149" t="s">
        <v>95</v>
      </c>
      <c r="Y16" s="149" t="s">
        <v>97</v>
      </c>
      <c r="Z16" s="149" t="s">
        <v>98</v>
      </c>
      <c r="AA16" s="149" t="s">
        <v>99</v>
      </c>
      <c r="AB16" s="149" t="s">
        <v>426</v>
      </c>
    </row>
    <row r="17" spans="1:28">
      <c r="A17" s="97"/>
      <c r="D17" s="99" t="s">
        <v>118</v>
      </c>
      <c r="E17" s="74">
        <f>(TAN(RADIANS(12.5)))*100</f>
        <v>22.169466264293987</v>
      </c>
      <c r="F17" s="74">
        <f>(TAN(RADIANS(15)))*100</f>
        <v>26.794919243112268</v>
      </c>
      <c r="G17" s="61" t="str">
        <f t="shared" si="0"/>
        <v>22.2 - 26.8</v>
      </c>
      <c r="H17" s="61">
        <v>3</v>
      </c>
      <c r="I17" s="61">
        <v>1</v>
      </c>
      <c r="J17" s="61">
        <v>15</v>
      </c>
      <c r="P17" s="109"/>
      <c r="Q17" s="60" t="s">
        <v>391</v>
      </c>
      <c r="R17" s="60" t="s">
        <v>17</v>
      </c>
      <c r="U17" s="2" t="s">
        <v>410</v>
      </c>
      <c r="V17" s="150">
        <v>117.08333333333334</v>
      </c>
      <c r="W17" s="150">
        <v>117.08333333333334</v>
      </c>
      <c r="X17" s="150">
        <v>158.75</v>
      </c>
      <c r="Y17" s="150">
        <v>200.41666666666669</v>
      </c>
      <c r="Z17" s="150">
        <v>242.08333333333334</v>
      </c>
      <c r="AA17" s="150">
        <v>283.75</v>
      </c>
      <c r="AB17" s="150">
        <v>367.08333333333331</v>
      </c>
    </row>
    <row r="18" spans="1:28">
      <c r="A18" s="97"/>
      <c r="D18" s="99" t="s">
        <v>121</v>
      </c>
      <c r="E18" s="74">
        <f>(TAN(RADIANS(12)))*100</f>
        <v>21.255656167002211</v>
      </c>
      <c r="F18" s="74">
        <v>0</v>
      </c>
      <c r="G18" s="61" t="str">
        <f>"&gt; " &amp;ROUND(E18,1)</f>
        <v>&gt; 21.3</v>
      </c>
      <c r="H18" s="61">
        <v>3</v>
      </c>
      <c r="I18" s="61">
        <v>1</v>
      </c>
      <c r="J18" s="61" t="s">
        <v>334</v>
      </c>
      <c r="P18" s="109"/>
      <c r="Q18" s="60" t="s">
        <v>386</v>
      </c>
      <c r="R18" s="60" t="s">
        <v>18</v>
      </c>
      <c r="U18" s="2" t="s">
        <v>411</v>
      </c>
      <c r="V18" s="158">
        <v>23.416666666666668</v>
      </c>
      <c r="W18" s="158">
        <v>23.416666666666668</v>
      </c>
      <c r="X18" s="158">
        <v>31.75</v>
      </c>
      <c r="Y18" s="150">
        <v>40.083333333333329</v>
      </c>
      <c r="Z18" s="150">
        <v>48.416666666666671</v>
      </c>
      <c r="AA18" s="150">
        <v>56.75</v>
      </c>
      <c r="AB18" s="150">
        <v>73.416666666666657</v>
      </c>
    </row>
    <row r="19" spans="1:28">
      <c r="A19" s="1"/>
      <c r="P19" s="109"/>
      <c r="Q19" s="60" t="s">
        <v>387</v>
      </c>
      <c r="R19" s="147" t="s">
        <v>3</v>
      </c>
      <c r="U19" s="2" t="s">
        <v>412</v>
      </c>
      <c r="V19" s="150">
        <v>11.708333333333334</v>
      </c>
      <c r="W19" s="150">
        <v>11.708333333333334</v>
      </c>
      <c r="X19" s="150">
        <v>15.875</v>
      </c>
      <c r="Y19" s="159">
        <v>20.041666666666664</v>
      </c>
      <c r="Z19" s="158">
        <v>24.208333333333336</v>
      </c>
      <c r="AA19" s="158">
        <v>28.375</v>
      </c>
      <c r="AB19" s="158">
        <v>36.708333333333329</v>
      </c>
    </row>
    <row r="20" spans="1:28">
      <c r="A20" s="100" t="s">
        <v>94</v>
      </c>
      <c r="B20" s="101"/>
      <c r="C20" s="101"/>
      <c r="D20" s="98" t="s">
        <v>229</v>
      </c>
      <c r="E20" s="98" t="s">
        <v>28</v>
      </c>
      <c r="F20" s="98" t="s">
        <v>29</v>
      </c>
      <c r="G20" s="145" t="s">
        <v>227</v>
      </c>
      <c r="H20" s="113" t="s">
        <v>383</v>
      </c>
      <c r="I20" s="101"/>
      <c r="J20" s="101"/>
      <c r="K20" s="60"/>
      <c r="L20" s="61"/>
      <c r="M20" s="120"/>
      <c r="N20" s="121"/>
      <c r="P20" s="113" t="s">
        <v>15</v>
      </c>
      <c r="Q20" s="60" t="s">
        <v>134</v>
      </c>
      <c r="R20" s="60" t="s">
        <v>3</v>
      </c>
      <c r="U20" s="2" t="s">
        <v>413</v>
      </c>
      <c r="V20" s="150">
        <v>5.854166666666667</v>
      </c>
      <c r="W20" s="150">
        <v>5.854166666666667</v>
      </c>
      <c r="X20" s="150">
        <v>7.9375</v>
      </c>
      <c r="Y20" s="150">
        <v>10.020833333333332</v>
      </c>
      <c r="Z20" s="150">
        <v>12.104166666666668</v>
      </c>
      <c r="AA20" s="150">
        <v>14.1875</v>
      </c>
      <c r="AB20" s="150">
        <v>18.354166666666664</v>
      </c>
    </row>
    <row r="21" spans="1:28">
      <c r="A21" s="97"/>
      <c r="D21" s="60" t="s">
        <v>114</v>
      </c>
      <c r="E21" s="61">
        <v>0</v>
      </c>
      <c r="F21" s="61">
        <v>0</v>
      </c>
      <c r="G21" s="130">
        <v>0.5</v>
      </c>
      <c r="H21" s="109"/>
      <c r="I21" s="60"/>
      <c r="J21" s="125" t="s">
        <v>68</v>
      </c>
      <c r="K21" s="123" t="s">
        <v>5</v>
      </c>
      <c r="L21" s="61">
        <v>1</v>
      </c>
      <c r="M21" s="60" t="s">
        <v>355</v>
      </c>
      <c r="N21" s="60"/>
      <c r="P21" s="108"/>
      <c r="Q21" s="60" t="s">
        <v>394</v>
      </c>
      <c r="R21" s="60" t="s">
        <v>18</v>
      </c>
      <c r="U21" s="2" t="s">
        <v>414</v>
      </c>
      <c r="V21" s="150">
        <v>3.9027777777777781</v>
      </c>
      <c r="W21" s="150">
        <v>3.9027777777777781</v>
      </c>
      <c r="X21" s="150">
        <v>5.291666666666667</v>
      </c>
      <c r="Y21" s="150">
        <v>6.6805555555555562</v>
      </c>
      <c r="Z21" s="150">
        <v>8.0694444444444446</v>
      </c>
      <c r="AA21" s="150">
        <v>9.4583333333333339</v>
      </c>
      <c r="AB21" s="150">
        <v>12.236111111111111</v>
      </c>
    </row>
    <row r="22" spans="1:28">
      <c r="A22" s="1"/>
      <c r="D22" s="60" t="s">
        <v>96</v>
      </c>
      <c r="E22" s="61">
        <v>2</v>
      </c>
      <c r="F22" s="61">
        <v>0</v>
      </c>
      <c r="G22" s="130">
        <v>1</v>
      </c>
      <c r="H22" s="108"/>
      <c r="I22" s="60"/>
      <c r="J22" s="125" t="s">
        <v>69</v>
      </c>
      <c r="K22" s="123" t="s">
        <v>5</v>
      </c>
      <c r="L22" s="61">
        <v>1</v>
      </c>
      <c r="M22" s="60" t="s">
        <v>355</v>
      </c>
      <c r="N22" s="60"/>
      <c r="P22" s="108"/>
      <c r="Q22" s="147" t="s">
        <v>395</v>
      </c>
      <c r="R22" s="60" t="s">
        <v>3</v>
      </c>
      <c r="U22" s="2" t="s">
        <v>415</v>
      </c>
      <c r="V22" s="150">
        <v>2.9270833333333335</v>
      </c>
      <c r="W22" s="150">
        <v>2.9270833333333335</v>
      </c>
      <c r="X22" s="150">
        <v>3.96875</v>
      </c>
      <c r="Y22" s="150">
        <v>5.0104166666666661</v>
      </c>
      <c r="Z22" s="150">
        <v>6.0520833333333339</v>
      </c>
      <c r="AA22" s="150">
        <v>7.09375</v>
      </c>
      <c r="AB22" s="150">
        <v>9.1770833333333321</v>
      </c>
    </row>
    <row r="23" spans="1:28">
      <c r="A23" s="1"/>
      <c r="D23" s="60" t="s">
        <v>95</v>
      </c>
      <c r="E23" s="61">
        <v>3</v>
      </c>
      <c r="F23" s="61">
        <v>1</v>
      </c>
      <c r="G23" s="130">
        <v>1.5</v>
      </c>
      <c r="H23" s="109"/>
      <c r="I23" s="60"/>
      <c r="J23" s="125" t="s">
        <v>70</v>
      </c>
      <c r="K23" s="123" t="s">
        <v>5</v>
      </c>
      <c r="L23" s="61">
        <v>0</v>
      </c>
      <c r="M23" s="60" t="s">
        <v>354</v>
      </c>
      <c r="N23" s="60"/>
      <c r="P23" s="113" t="s">
        <v>365</v>
      </c>
      <c r="Q23" s="60" t="s">
        <v>5</v>
      </c>
      <c r="U23" s="2" t="s">
        <v>416</v>
      </c>
      <c r="V23" s="150">
        <v>2.3416666666666663</v>
      </c>
      <c r="W23" s="150">
        <v>2.3416666666666663</v>
      </c>
      <c r="X23" s="150">
        <v>3.1749999999999998</v>
      </c>
      <c r="Y23" s="150">
        <v>4.0083333333333329</v>
      </c>
      <c r="Z23" s="150">
        <v>4.8416666666666668</v>
      </c>
      <c r="AA23" s="150">
        <v>5.6749999999999998</v>
      </c>
      <c r="AB23" s="150">
        <v>7.3416666666666668</v>
      </c>
    </row>
    <row r="24" spans="1:28">
      <c r="A24" s="1"/>
      <c r="D24" s="60" t="s">
        <v>97</v>
      </c>
      <c r="E24" s="61">
        <v>1</v>
      </c>
      <c r="F24" s="61">
        <v>3</v>
      </c>
      <c r="G24" s="130">
        <v>2</v>
      </c>
      <c r="H24" s="109"/>
      <c r="I24" s="120"/>
      <c r="J24" s="122" t="s">
        <v>71</v>
      </c>
      <c r="K24" s="123" t="s">
        <v>5</v>
      </c>
      <c r="L24" s="61">
        <v>0</v>
      </c>
      <c r="M24" s="60" t="s">
        <v>354</v>
      </c>
      <c r="N24" s="60"/>
      <c r="P24" s="108"/>
      <c r="Q24" s="60" t="s">
        <v>6</v>
      </c>
      <c r="U24" s="2" t="s">
        <v>425</v>
      </c>
      <c r="V24" s="150">
        <v>1.9513888888888891</v>
      </c>
      <c r="W24" s="150">
        <v>1.9513888888888891</v>
      </c>
      <c r="X24" s="150">
        <v>2.6458333333333335</v>
      </c>
      <c r="Y24" s="150">
        <v>3.3402777777777781</v>
      </c>
      <c r="Z24" s="150">
        <v>4.0347222222222223</v>
      </c>
      <c r="AA24" s="150">
        <v>4.729166666666667</v>
      </c>
      <c r="AB24" s="150">
        <v>6.1180555555555554</v>
      </c>
    </row>
    <row r="25" spans="1:28">
      <c r="A25" s="1"/>
      <c r="D25" s="60" t="s">
        <v>98</v>
      </c>
      <c r="E25" s="61">
        <v>1</v>
      </c>
      <c r="F25" s="61">
        <v>3</v>
      </c>
      <c r="G25" s="130">
        <v>2.5</v>
      </c>
      <c r="H25" s="113" t="s">
        <v>384</v>
      </c>
      <c r="I25" s="101"/>
      <c r="J25" s="101"/>
      <c r="K25" s="60"/>
      <c r="L25" s="61"/>
      <c r="M25" s="120"/>
      <c r="N25" s="121"/>
      <c r="P25" s="108"/>
      <c r="U25" s="2" t="s">
        <v>417</v>
      </c>
      <c r="V25" s="150">
        <v>1.6726190476190479</v>
      </c>
      <c r="W25" s="150">
        <v>1.6726190476190479</v>
      </c>
      <c r="X25" s="150">
        <v>2.2678571428571428</v>
      </c>
      <c r="Y25" s="150">
        <v>2.8630952380952381</v>
      </c>
      <c r="Z25" s="150">
        <v>3.4583333333333335</v>
      </c>
      <c r="AA25" s="150">
        <v>4.0535714285714288</v>
      </c>
      <c r="AB25" s="150">
        <v>5.2440476190476186</v>
      </c>
    </row>
    <row r="26" spans="1:28">
      <c r="A26" s="1"/>
      <c r="D26" s="60" t="s">
        <v>99</v>
      </c>
      <c r="E26" s="61">
        <v>1</v>
      </c>
      <c r="F26" s="61">
        <v>3</v>
      </c>
      <c r="G26" s="130">
        <v>3</v>
      </c>
      <c r="H26" s="109"/>
      <c r="I26" s="60"/>
      <c r="J26" s="125" t="s">
        <v>68</v>
      </c>
      <c r="K26" s="123" t="s">
        <v>5</v>
      </c>
      <c r="L26" s="61">
        <v>1</v>
      </c>
      <c r="M26" s="60" t="s">
        <v>355</v>
      </c>
      <c r="N26" s="60"/>
      <c r="P26" s="108"/>
      <c r="Q26" s="60" t="s">
        <v>398</v>
      </c>
      <c r="R26" s="60" t="s">
        <v>17</v>
      </c>
      <c r="U26" s="2" t="s">
        <v>418</v>
      </c>
      <c r="V26" s="150">
        <v>1.4635416666666667</v>
      </c>
      <c r="W26" s="150">
        <v>1.4635416666666667</v>
      </c>
      <c r="X26" s="150">
        <v>1.984375</v>
      </c>
      <c r="Y26" s="150">
        <v>2.505208333333333</v>
      </c>
      <c r="Z26" s="150">
        <v>3.026041666666667</v>
      </c>
      <c r="AA26" s="150">
        <v>3.546875</v>
      </c>
      <c r="AB26" s="150">
        <v>4.5885416666666661</v>
      </c>
    </row>
    <row r="27" spans="1:28">
      <c r="A27" s="1"/>
      <c r="D27" s="60" t="s">
        <v>100</v>
      </c>
      <c r="E27" s="61">
        <v>1</v>
      </c>
      <c r="F27" s="61">
        <v>3</v>
      </c>
      <c r="G27" s="130">
        <v>3.5</v>
      </c>
      <c r="H27" s="108"/>
      <c r="I27" s="60"/>
      <c r="J27" s="125" t="s">
        <v>69</v>
      </c>
      <c r="K27" s="123" t="s">
        <v>5</v>
      </c>
      <c r="L27" s="61">
        <v>1</v>
      </c>
      <c r="M27" s="60" t="s">
        <v>355</v>
      </c>
      <c r="N27" s="60"/>
      <c r="P27" s="108"/>
      <c r="Q27" s="60" t="s">
        <v>397</v>
      </c>
      <c r="R27" s="60" t="s">
        <v>17</v>
      </c>
      <c r="U27" s="2" t="s">
        <v>419</v>
      </c>
      <c r="V27" s="150">
        <v>1.3009259259259258</v>
      </c>
      <c r="W27" s="150">
        <v>1.3009259259259258</v>
      </c>
      <c r="X27" s="150">
        <v>1.7638888888888888</v>
      </c>
      <c r="Y27" s="150">
        <v>2.2268518518518516</v>
      </c>
      <c r="Z27" s="150">
        <v>2.6898148148148149</v>
      </c>
      <c r="AA27" s="150">
        <v>3.1527777777777781</v>
      </c>
      <c r="AB27" s="150">
        <v>4.0787037037037042</v>
      </c>
    </row>
    <row r="28" spans="1:28">
      <c r="A28" s="97"/>
      <c r="D28" s="60" t="s">
        <v>101</v>
      </c>
      <c r="E28" s="61">
        <v>1</v>
      </c>
      <c r="F28" s="61">
        <v>3</v>
      </c>
      <c r="G28" s="130">
        <v>4</v>
      </c>
      <c r="H28" s="109"/>
      <c r="I28" s="60"/>
      <c r="J28" s="125" t="s">
        <v>70</v>
      </c>
      <c r="K28" s="123" t="s">
        <v>5</v>
      </c>
      <c r="L28" s="61">
        <v>1</v>
      </c>
      <c r="M28" s="60" t="s">
        <v>355</v>
      </c>
      <c r="N28" s="60"/>
      <c r="P28" s="108"/>
      <c r="Q28" s="60" t="s">
        <v>366</v>
      </c>
      <c r="R28" s="60" t="s">
        <v>3</v>
      </c>
      <c r="U28" s="2" t="s">
        <v>420</v>
      </c>
      <c r="V28" s="150">
        <v>1.1708333333333332</v>
      </c>
      <c r="W28" s="150">
        <v>1.1708333333333332</v>
      </c>
      <c r="X28" s="150">
        <v>1.5874999999999999</v>
      </c>
      <c r="Y28" s="150">
        <v>2.0041666666666664</v>
      </c>
      <c r="Z28" s="150">
        <v>2.4208333333333334</v>
      </c>
      <c r="AA28" s="150">
        <v>2.8374999999999999</v>
      </c>
      <c r="AB28" s="150">
        <v>3.6708333333333334</v>
      </c>
    </row>
    <row r="29" spans="1:28">
      <c r="A29" s="97"/>
      <c r="D29" s="60" t="s">
        <v>102</v>
      </c>
      <c r="E29" s="61">
        <v>1</v>
      </c>
      <c r="F29" s="61">
        <v>3</v>
      </c>
      <c r="G29" s="130">
        <v>4.5</v>
      </c>
      <c r="H29" s="109"/>
      <c r="I29" s="120"/>
      <c r="J29" s="122" t="s">
        <v>71</v>
      </c>
      <c r="K29" s="123" t="s">
        <v>5</v>
      </c>
      <c r="L29" s="61">
        <v>0</v>
      </c>
      <c r="M29" s="60" t="s">
        <v>354</v>
      </c>
      <c r="N29" s="60"/>
      <c r="P29" s="108"/>
      <c r="Q29" s="60" t="s">
        <v>367</v>
      </c>
      <c r="R29" s="60" t="s">
        <v>18</v>
      </c>
    </row>
    <row r="30" spans="1:28">
      <c r="A30" s="97"/>
      <c r="D30" s="60" t="s">
        <v>103</v>
      </c>
      <c r="E30" s="61">
        <v>1</v>
      </c>
      <c r="F30" s="61">
        <v>3</v>
      </c>
      <c r="G30" s="130">
        <v>5</v>
      </c>
      <c r="H30" s="113" t="s">
        <v>385</v>
      </c>
      <c r="I30" s="101"/>
      <c r="J30" s="101"/>
      <c r="K30" s="60"/>
      <c r="L30" s="61"/>
      <c r="M30" s="120"/>
      <c r="N30" s="121"/>
      <c r="P30" s="108"/>
      <c r="U30" s="151" t="s">
        <v>400</v>
      </c>
      <c r="V30" t="s">
        <v>405</v>
      </c>
    </row>
    <row r="31" spans="1:28">
      <c r="A31" s="97"/>
      <c r="D31" s="60" t="s">
        <v>104</v>
      </c>
      <c r="E31" s="61">
        <v>1</v>
      </c>
      <c r="F31" s="61">
        <v>3</v>
      </c>
      <c r="G31" s="130">
        <v>5.5</v>
      </c>
      <c r="H31" s="109"/>
      <c r="I31" s="60"/>
      <c r="J31" s="125" t="s">
        <v>68</v>
      </c>
      <c r="K31" s="123" t="s">
        <v>5</v>
      </c>
      <c r="L31" s="61">
        <v>1</v>
      </c>
      <c r="M31" s="60" t="s">
        <v>355</v>
      </c>
      <c r="N31" s="60"/>
      <c r="P31" s="113" t="s">
        <v>136</v>
      </c>
      <c r="Q31" s="60" t="s">
        <v>5</v>
      </c>
      <c r="U31" s="152" t="s">
        <v>401</v>
      </c>
      <c r="V31" t="s">
        <v>406</v>
      </c>
    </row>
    <row r="32" spans="1:28">
      <c r="A32" s="97"/>
      <c r="D32" s="60" t="s">
        <v>105</v>
      </c>
      <c r="E32" s="61">
        <v>1</v>
      </c>
      <c r="F32" s="61">
        <v>3</v>
      </c>
      <c r="G32" s="130">
        <v>6</v>
      </c>
      <c r="H32" s="108"/>
      <c r="I32" s="60"/>
      <c r="J32" s="125" t="s">
        <v>69</v>
      </c>
      <c r="K32" s="123" t="s">
        <v>5</v>
      </c>
      <c r="L32" s="61">
        <v>1</v>
      </c>
      <c r="M32" s="60" t="s">
        <v>355</v>
      </c>
      <c r="N32" s="60"/>
      <c r="P32" s="108"/>
      <c r="Q32" s="60" t="s">
        <v>6</v>
      </c>
      <c r="U32" s="153" t="s">
        <v>402</v>
      </c>
      <c r="V32" t="s">
        <v>407</v>
      </c>
    </row>
    <row r="33" spans="1:22">
      <c r="A33" s="97"/>
      <c r="D33" s="60" t="s">
        <v>106</v>
      </c>
      <c r="E33" s="61">
        <v>1</v>
      </c>
      <c r="F33" s="61">
        <v>3</v>
      </c>
      <c r="G33" s="130">
        <v>6.5</v>
      </c>
      <c r="H33" s="109"/>
      <c r="I33" s="60"/>
      <c r="J33" s="125" t="s">
        <v>70</v>
      </c>
      <c r="K33" s="123" t="s">
        <v>5</v>
      </c>
      <c r="L33" s="61">
        <v>0</v>
      </c>
      <c r="M33" s="60" t="s">
        <v>354</v>
      </c>
      <c r="N33" s="60"/>
      <c r="P33" s="108"/>
      <c r="U33" s="154" t="s">
        <v>403</v>
      </c>
      <c r="V33" t="s">
        <v>408</v>
      </c>
    </row>
    <row r="34" spans="1:22">
      <c r="A34" s="97"/>
      <c r="D34" s="60" t="s">
        <v>107</v>
      </c>
      <c r="E34" s="61">
        <v>1</v>
      </c>
      <c r="F34" s="61">
        <v>3</v>
      </c>
      <c r="G34" s="130">
        <v>7</v>
      </c>
      <c r="H34" s="109"/>
      <c r="I34" s="120"/>
      <c r="J34" s="122" t="s">
        <v>71</v>
      </c>
      <c r="K34" s="123" t="s">
        <v>5</v>
      </c>
      <c r="L34" s="61">
        <v>0</v>
      </c>
      <c r="M34" s="60" t="s">
        <v>354</v>
      </c>
      <c r="N34" s="60"/>
      <c r="P34" s="108"/>
      <c r="Q34" s="60" t="s">
        <v>318</v>
      </c>
      <c r="R34" s="60" t="s">
        <v>18</v>
      </c>
      <c r="U34" s="155" t="s">
        <v>404</v>
      </c>
      <c r="V34" t="s">
        <v>409</v>
      </c>
    </row>
    <row r="35" spans="1:22">
      <c r="A35" s="97"/>
      <c r="D35" s="60" t="s">
        <v>108</v>
      </c>
      <c r="E35" s="61">
        <v>1</v>
      </c>
      <c r="F35" s="61">
        <v>3</v>
      </c>
      <c r="G35" s="130">
        <v>7.5</v>
      </c>
      <c r="H35" s="202" t="s">
        <v>449</v>
      </c>
      <c r="I35" s="101"/>
      <c r="J35" s="101"/>
      <c r="K35" s="60"/>
      <c r="L35" s="61"/>
      <c r="M35" s="120"/>
      <c r="N35" s="121"/>
      <c r="P35" s="108"/>
      <c r="Q35" s="60" t="s">
        <v>317</v>
      </c>
      <c r="R35" s="60" t="s">
        <v>18</v>
      </c>
    </row>
    <row r="36" spans="1:22">
      <c r="A36" s="97"/>
      <c r="D36" s="60" t="s">
        <v>109</v>
      </c>
      <c r="E36" s="61">
        <v>1</v>
      </c>
      <c r="F36" s="61">
        <v>3</v>
      </c>
      <c r="G36" s="130">
        <v>8</v>
      </c>
      <c r="H36" s="109"/>
      <c r="I36" s="60"/>
      <c r="J36" s="125" t="s">
        <v>68</v>
      </c>
      <c r="K36" s="123" t="s">
        <v>5</v>
      </c>
      <c r="L36" s="61">
        <v>1</v>
      </c>
      <c r="M36" s="60" t="s">
        <v>355</v>
      </c>
      <c r="N36" s="60"/>
      <c r="P36" s="108"/>
      <c r="Q36" s="60" t="s">
        <v>135</v>
      </c>
      <c r="R36" s="60" t="s">
        <v>19</v>
      </c>
    </row>
    <row r="37" spans="1:22">
      <c r="A37" s="97"/>
      <c r="D37" s="60" t="s">
        <v>110</v>
      </c>
      <c r="E37" s="61">
        <v>1</v>
      </c>
      <c r="F37" s="61">
        <v>3</v>
      </c>
      <c r="G37" s="130">
        <v>8.5</v>
      </c>
      <c r="H37" s="108"/>
      <c r="I37" s="60"/>
      <c r="J37" s="125" t="s">
        <v>69</v>
      </c>
      <c r="K37" s="123" t="s">
        <v>5</v>
      </c>
      <c r="L37" s="61">
        <v>1</v>
      </c>
      <c r="M37" s="60" t="s">
        <v>355</v>
      </c>
      <c r="N37" s="60"/>
      <c r="P37" s="108"/>
    </row>
    <row r="38" spans="1:22">
      <c r="A38" s="97"/>
      <c r="D38" s="60" t="s">
        <v>111</v>
      </c>
      <c r="E38" s="61">
        <v>1</v>
      </c>
      <c r="F38" s="61">
        <v>3</v>
      </c>
      <c r="G38" s="61">
        <v>9</v>
      </c>
      <c r="H38" s="109"/>
      <c r="I38" s="60"/>
      <c r="J38" s="125" t="s">
        <v>70</v>
      </c>
      <c r="K38" s="123" t="s">
        <v>5</v>
      </c>
      <c r="L38" s="61">
        <v>0</v>
      </c>
      <c r="M38" s="60" t="s">
        <v>354</v>
      </c>
      <c r="N38" s="60"/>
      <c r="P38" s="113" t="s">
        <v>16</v>
      </c>
      <c r="Q38" s="60" t="s">
        <v>5</v>
      </c>
    </row>
    <row r="39" spans="1:22">
      <c r="A39" s="97"/>
      <c r="D39" s="60" t="s">
        <v>112</v>
      </c>
      <c r="E39" s="61">
        <v>1</v>
      </c>
      <c r="F39" s="61">
        <v>3</v>
      </c>
      <c r="G39" s="61">
        <v>9.5</v>
      </c>
      <c r="H39" s="109"/>
      <c r="I39" s="120"/>
      <c r="J39" s="122" t="s">
        <v>71</v>
      </c>
      <c r="K39" s="123" t="s">
        <v>5</v>
      </c>
      <c r="L39" s="61">
        <v>0</v>
      </c>
      <c r="M39" s="60" t="s">
        <v>354</v>
      </c>
      <c r="N39" s="60"/>
      <c r="P39" s="109"/>
      <c r="Q39" s="60" t="s">
        <v>6</v>
      </c>
    </row>
    <row r="40" spans="1:22">
      <c r="A40" s="97"/>
      <c r="D40" s="60" t="s">
        <v>113</v>
      </c>
      <c r="E40" s="61">
        <v>1</v>
      </c>
      <c r="F40" s="61">
        <v>3</v>
      </c>
      <c r="G40" s="130">
        <v>10</v>
      </c>
      <c r="H40" s="109"/>
      <c r="J40" s="126"/>
      <c r="K40" s="127"/>
      <c r="L40" s="2"/>
      <c r="P40" s="109"/>
    </row>
    <row r="41" spans="1:22">
      <c r="A41" s="97"/>
      <c r="H41" s="113" t="s">
        <v>356</v>
      </c>
      <c r="I41" s="101"/>
      <c r="J41" s="101"/>
      <c r="K41" s="60" t="s">
        <v>5</v>
      </c>
      <c r="L41" s="61">
        <v>2</v>
      </c>
      <c r="M41" s="120" t="s">
        <v>357</v>
      </c>
      <c r="N41" s="121"/>
      <c r="P41" s="109"/>
      <c r="Q41" s="60" t="s">
        <v>137</v>
      </c>
      <c r="R41" s="60" t="s">
        <v>18</v>
      </c>
    </row>
    <row r="42" spans="1:22">
      <c r="A42" s="100" t="s">
        <v>337</v>
      </c>
      <c r="B42" s="101"/>
      <c r="C42" s="101"/>
      <c r="D42" s="98" t="s">
        <v>335</v>
      </c>
      <c r="E42" s="59" t="s">
        <v>28</v>
      </c>
      <c r="F42" s="59" t="s">
        <v>29</v>
      </c>
      <c r="H42" s="109"/>
      <c r="L42" s="2"/>
      <c r="P42" s="109"/>
      <c r="Q42" s="60" t="s">
        <v>138</v>
      </c>
      <c r="R42" s="60" t="s">
        <v>19</v>
      </c>
    </row>
    <row r="43" spans="1:22">
      <c r="A43" s="97"/>
      <c r="D43" s="60" t="s">
        <v>37</v>
      </c>
      <c r="E43" s="61">
        <v>3</v>
      </c>
      <c r="F43" s="61">
        <v>3</v>
      </c>
      <c r="H43" s="113" t="s">
        <v>82</v>
      </c>
      <c r="I43" s="101"/>
      <c r="J43" s="101"/>
      <c r="K43" s="60" t="s">
        <v>5</v>
      </c>
      <c r="L43" s="61">
        <v>0</v>
      </c>
      <c r="M43" s="120" t="s">
        <v>354</v>
      </c>
      <c r="N43" s="121"/>
      <c r="P43" s="109"/>
      <c r="Q43" s="60" t="s">
        <v>139</v>
      </c>
      <c r="R43" s="60" t="s">
        <v>19</v>
      </c>
    </row>
    <row r="44" spans="1:22">
      <c r="A44" s="97"/>
      <c r="D44" s="60" t="s">
        <v>38</v>
      </c>
      <c r="E44" s="61">
        <v>2</v>
      </c>
      <c r="F44" s="61">
        <v>2</v>
      </c>
      <c r="H44" s="109"/>
      <c r="L44" s="2"/>
      <c r="P44" s="109"/>
      <c r="Q44" s="60" t="s">
        <v>321</v>
      </c>
      <c r="R44" s="60" t="s">
        <v>18</v>
      </c>
    </row>
    <row r="45" spans="1:22">
      <c r="A45" s="97"/>
      <c r="D45" s="60" t="s">
        <v>372</v>
      </c>
      <c r="E45" s="61">
        <v>2</v>
      </c>
      <c r="F45" s="61">
        <v>2</v>
      </c>
      <c r="H45" s="113" t="s">
        <v>83</v>
      </c>
      <c r="I45" s="101"/>
      <c r="J45" s="101"/>
      <c r="K45" s="60" t="s">
        <v>5</v>
      </c>
      <c r="L45" s="61">
        <v>-1</v>
      </c>
      <c r="M45" s="120" t="s">
        <v>358</v>
      </c>
      <c r="N45" s="121"/>
      <c r="P45" s="109"/>
      <c r="Q45" s="60" t="s">
        <v>349</v>
      </c>
      <c r="R45" s="60" t="s">
        <v>3</v>
      </c>
    </row>
    <row r="46" spans="1:22">
      <c r="A46" s="97"/>
      <c r="D46" s="60" t="s">
        <v>39</v>
      </c>
      <c r="E46" s="61">
        <v>1</v>
      </c>
      <c r="F46" s="61">
        <v>1</v>
      </c>
      <c r="H46" s="109"/>
      <c r="L46" s="2"/>
      <c r="P46" s="109"/>
      <c r="Q46" s="201" t="s">
        <v>433</v>
      </c>
      <c r="R46" s="201" t="s">
        <v>18</v>
      </c>
    </row>
    <row r="47" spans="1:22">
      <c r="A47" s="1"/>
      <c r="H47" s="113" t="s">
        <v>84</v>
      </c>
      <c r="I47" s="101"/>
      <c r="J47" s="101"/>
      <c r="K47" s="60" t="s">
        <v>5</v>
      </c>
      <c r="L47" s="61">
        <v>0</v>
      </c>
      <c r="M47" s="120" t="s">
        <v>354</v>
      </c>
      <c r="N47" s="121"/>
      <c r="P47" s="266" t="s">
        <v>368</v>
      </c>
      <c r="Q47" s="60" t="s">
        <v>5</v>
      </c>
    </row>
    <row r="48" spans="1:22">
      <c r="A48" s="100" t="s">
        <v>338</v>
      </c>
      <c r="B48" s="101"/>
      <c r="C48" s="101"/>
      <c r="D48" s="98" t="s">
        <v>338</v>
      </c>
      <c r="E48" s="59" t="s">
        <v>28</v>
      </c>
      <c r="F48" s="59" t="s">
        <v>29</v>
      </c>
      <c r="H48" s="109"/>
      <c r="L48" s="2"/>
      <c r="P48" s="266"/>
      <c r="Q48" s="60" t="s">
        <v>6</v>
      </c>
    </row>
    <row r="49" spans="1:22">
      <c r="A49" s="97"/>
      <c r="D49" s="60" t="s">
        <v>43</v>
      </c>
      <c r="E49" s="61">
        <v>3</v>
      </c>
      <c r="F49" s="61">
        <v>3</v>
      </c>
      <c r="H49" s="113" t="s">
        <v>359</v>
      </c>
      <c r="I49" s="101"/>
      <c r="J49" s="101"/>
      <c r="K49" s="60" t="s">
        <v>5</v>
      </c>
      <c r="L49" s="61">
        <v>0</v>
      </c>
      <c r="M49" s="120" t="s">
        <v>354</v>
      </c>
      <c r="N49" s="121"/>
      <c r="P49" s="132"/>
    </row>
    <row r="50" spans="1:22">
      <c r="A50" s="97"/>
      <c r="D50" s="60" t="s">
        <v>44</v>
      </c>
      <c r="E50" s="61">
        <v>2</v>
      </c>
      <c r="F50" s="61">
        <v>3</v>
      </c>
      <c r="H50" s="109"/>
      <c r="L50" s="2"/>
      <c r="P50" s="132"/>
      <c r="Q50" s="60" t="s">
        <v>370</v>
      </c>
      <c r="R50" s="60" t="s">
        <v>18</v>
      </c>
    </row>
    <row r="51" spans="1:22">
      <c r="A51" s="97"/>
      <c r="D51" s="60" t="s">
        <v>45</v>
      </c>
      <c r="E51" s="61">
        <v>2</v>
      </c>
      <c r="F51" s="61">
        <v>2</v>
      </c>
      <c r="H51" s="113" t="s">
        <v>87</v>
      </c>
      <c r="I51" s="101"/>
      <c r="J51" s="101"/>
      <c r="K51" s="60" t="s">
        <v>5</v>
      </c>
      <c r="L51" s="61">
        <v>0</v>
      </c>
      <c r="M51" s="120" t="s">
        <v>354</v>
      </c>
      <c r="N51" s="121"/>
      <c r="P51" s="132"/>
      <c r="Q51" s="60" t="s">
        <v>371</v>
      </c>
      <c r="R51" s="60" t="s">
        <v>18</v>
      </c>
    </row>
    <row r="52" spans="1:22">
      <c r="A52" s="97"/>
      <c r="D52" s="60" t="s">
        <v>46</v>
      </c>
      <c r="E52" s="61">
        <v>1</v>
      </c>
      <c r="F52" s="61">
        <v>1</v>
      </c>
      <c r="H52" s="109"/>
      <c r="L52" s="2"/>
      <c r="P52" s="109"/>
    </row>
    <row r="53" spans="1:22">
      <c r="A53" s="97"/>
      <c r="D53" s="60" t="s">
        <v>381</v>
      </c>
      <c r="E53" s="61">
        <v>0</v>
      </c>
      <c r="F53" s="61">
        <v>0</v>
      </c>
      <c r="H53" s="113" t="s">
        <v>85</v>
      </c>
      <c r="I53" s="101"/>
      <c r="J53" s="101"/>
      <c r="K53" s="60" t="s">
        <v>5</v>
      </c>
      <c r="L53" s="61">
        <v>1</v>
      </c>
      <c r="M53" s="60" t="s">
        <v>355</v>
      </c>
      <c r="N53" s="121"/>
      <c r="P53" s="98" t="s">
        <v>127</v>
      </c>
      <c r="Q53" s="98" t="s">
        <v>128</v>
      </c>
      <c r="R53" s="98" t="s">
        <v>129</v>
      </c>
      <c r="S53" s="98" t="s">
        <v>130</v>
      </c>
    </row>
    <row r="54" spans="1:22">
      <c r="A54" s="97"/>
      <c r="D54" s="60" t="s">
        <v>48</v>
      </c>
      <c r="E54" s="61">
        <v>1</v>
      </c>
      <c r="F54" s="61">
        <v>1</v>
      </c>
      <c r="H54" s="109"/>
      <c r="L54" s="2"/>
      <c r="P54" s="60" t="s">
        <v>20</v>
      </c>
      <c r="Q54" s="60" t="s">
        <v>22</v>
      </c>
      <c r="R54" s="60" t="s">
        <v>22</v>
      </c>
      <c r="S54" s="60" t="s">
        <v>17</v>
      </c>
    </row>
    <row r="55" spans="1:22">
      <c r="A55" s="97"/>
      <c r="D55" s="60" t="s">
        <v>47</v>
      </c>
      <c r="E55" s="61">
        <v>0</v>
      </c>
      <c r="F55" s="61">
        <v>0</v>
      </c>
      <c r="H55" s="113" t="s">
        <v>382</v>
      </c>
      <c r="I55" s="101"/>
      <c r="J55" s="101"/>
      <c r="K55" s="60" t="s">
        <v>5</v>
      </c>
      <c r="L55" s="61">
        <v>0</v>
      </c>
      <c r="M55" s="120" t="s">
        <v>354</v>
      </c>
      <c r="N55" s="121"/>
      <c r="P55" s="60" t="s">
        <v>17</v>
      </c>
      <c r="Q55" s="60" t="s">
        <v>17</v>
      </c>
      <c r="R55" s="60" t="s">
        <v>17</v>
      </c>
      <c r="S55" s="60" t="s">
        <v>17</v>
      </c>
    </row>
    <row r="56" spans="1:22">
      <c r="A56" s="1"/>
      <c r="H56" s="109"/>
      <c r="L56" s="2"/>
      <c r="P56" s="60" t="s">
        <v>3</v>
      </c>
      <c r="Q56" s="60" t="s">
        <v>17</v>
      </c>
      <c r="R56" s="60" t="s">
        <v>21</v>
      </c>
      <c r="S56" s="60" t="s">
        <v>21</v>
      </c>
    </row>
    <row r="57" spans="1:22">
      <c r="A57" s="100" t="s">
        <v>339</v>
      </c>
      <c r="B57" s="101"/>
      <c r="C57" s="101"/>
      <c r="D57" s="98" t="s">
        <v>339</v>
      </c>
      <c r="E57" s="166" t="s">
        <v>28</v>
      </c>
      <c r="F57" s="166" t="s">
        <v>29</v>
      </c>
      <c r="H57" s="113" t="s">
        <v>360</v>
      </c>
      <c r="I57" s="101"/>
      <c r="J57" s="101"/>
      <c r="K57" s="60" t="s">
        <v>5</v>
      </c>
      <c r="L57" s="61">
        <v>0</v>
      </c>
      <c r="M57" s="120" t="s">
        <v>354</v>
      </c>
      <c r="N57" s="121"/>
      <c r="P57" s="60" t="s">
        <v>18</v>
      </c>
      <c r="Q57" s="60" t="s">
        <v>21</v>
      </c>
      <c r="R57" s="60" t="s">
        <v>21</v>
      </c>
      <c r="S57" s="60" t="s">
        <v>18</v>
      </c>
    </row>
    <row r="58" spans="1:22">
      <c r="A58" s="97"/>
      <c r="D58" s="60" t="s">
        <v>50</v>
      </c>
      <c r="E58" s="61">
        <v>3</v>
      </c>
      <c r="F58" s="61">
        <v>2</v>
      </c>
      <c r="H58" s="109"/>
      <c r="L58" s="2"/>
      <c r="P58" s="60" t="s">
        <v>19</v>
      </c>
      <c r="Q58" s="60" t="s">
        <v>21</v>
      </c>
      <c r="R58" s="60" t="s">
        <v>18</v>
      </c>
      <c r="S58" s="60" t="s">
        <v>18</v>
      </c>
    </row>
    <row r="59" spans="1:22">
      <c r="A59" s="97"/>
      <c r="D59" s="60" t="s">
        <v>51</v>
      </c>
      <c r="E59" s="61">
        <v>1</v>
      </c>
      <c r="F59" s="61">
        <v>2</v>
      </c>
      <c r="H59" s="113" t="s">
        <v>361</v>
      </c>
      <c r="I59" s="101"/>
      <c r="J59" s="101"/>
      <c r="K59" s="60" t="s">
        <v>5</v>
      </c>
      <c r="L59" s="61">
        <v>-1</v>
      </c>
      <c r="M59" s="120" t="s">
        <v>358</v>
      </c>
      <c r="N59" s="121"/>
      <c r="P59" s="109"/>
    </row>
    <row r="60" spans="1:22">
      <c r="A60" s="97"/>
      <c r="D60" s="60" t="s">
        <v>343</v>
      </c>
      <c r="E60" s="61">
        <v>1</v>
      </c>
      <c r="F60" s="61">
        <v>1</v>
      </c>
      <c r="H60" s="109"/>
      <c r="L60" s="2"/>
      <c r="P60" s="113" t="s">
        <v>162</v>
      </c>
      <c r="Q60" s="101"/>
      <c r="R60" s="101"/>
      <c r="S60" s="101"/>
    </row>
    <row r="61" spans="1:22">
      <c r="A61" s="97"/>
      <c r="D61" s="60" t="s">
        <v>344</v>
      </c>
      <c r="E61" s="61">
        <v>2</v>
      </c>
      <c r="F61" s="61">
        <v>2</v>
      </c>
      <c r="G61" s="97"/>
      <c r="H61" s="113" t="s">
        <v>362</v>
      </c>
      <c r="I61" s="101"/>
      <c r="J61" s="101"/>
      <c r="K61" s="60" t="s">
        <v>5</v>
      </c>
      <c r="L61" s="61">
        <v>-2</v>
      </c>
      <c r="M61" s="120" t="s">
        <v>363</v>
      </c>
      <c r="N61" s="121"/>
      <c r="P61" s="99" t="s">
        <v>22</v>
      </c>
      <c r="Q61" s="109" t="s">
        <v>316</v>
      </c>
    </row>
    <row r="62" spans="1:22">
      <c r="A62" s="97"/>
      <c r="D62" s="60" t="s">
        <v>52</v>
      </c>
      <c r="E62" s="61">
        <v>0</v>
      </c>
      <c r="F62" s="61">
        <v>0</v>
      </c>
      <c r="G62" s="97"/>
      <c r="H62" s="109"/>
      <c r="L62" s="2"/>
      <c r="P62" s="99" t="s">
        <v>17</v>
      </c>
      <c r="Q62" s="109" t="s">
        <v>163</v>
      </c>
    </row>
    <row r="63" spans="1:22">
      <c r="A63" s="97"/>
      <c r="D63" s="115"/>
      <c r="E63" s="131"/>
      <c r="F63" s="131"/>
      <c r="H63" s="109"/>
      <c r="L63" s="2"/>
      <c r="P63" s="99" t="s">
        <v>21</v>
      </c>
      <c r="Q63" s="109" t="s">
        <v>164</v>
      </c>
    </row>
    <row r="64" spans="1:22">
      <c r="A64" s="97"/>
      <c r="E64" s="2"/>
      <c r="F64" s="2"/>
      <c r="H64" s="124" t="s">
        <v>161</v>
      </c>
      <c r="I64" s="101"/>
      <c r="J64" s="101"/>
      <c r="K64" s="101"/>
      <c r="L64" s="101"/>
      <c r="M64" s="101"/>
      <c r="N64" s="101"/>
      <c r="P64" s="99" t="s">
        <v>18</v>
      </c>
      <c r="Q64" s="118" t="s">
        <v>165</v>
      </c>
      <c r="R64" s="92"/>
      <c r="S64" s="92"/>
      <c r="T64" s="92"/>
      <c r="U64" s="92"/>
      <c r="V64" s="92"/>
    </row>
    <row r="65" spans="1:22">
      <c r="A65" s="100" t="s">
        <v>1</v>
      </c>
      <c r="B65" s="101"/>
      <c r="C65" s="101"/>
      <c r="D65" s="98" t="s">
        <v>1</v>
      </c>
      <c r="E65" s="166" t="s">
        <v>28</v>
      </c>
      <c r="F65" s="166" t="s">
        <v>29</v>
      </c>
      <c r="H65" s="99" t="s">
        <v>20</v>
      </c>
      <c r="I65" s="114" t="s">
        <v>142</v>
      </c>
      <c r="J65" s="115"/>
      <c r="K65" s="115"/>
      <c r="L65" s="115"/>
      <c r="M65" s="115"/>
      <c r="N65" s="115"/>
      <c r="P65" s="112"/>
    </row>
    <row r="66" spans="1:22">
      <c r="A66" s="97"/>
      <c r="D66" s="60" t="s">
        <v>55</v>
      </c>
      <c r="E66" s="61">
        <v>1</v>
      </c>
      <c r="F66" s="61">
        <v>1</v>
      </c>
      <c r="H66" s="99" t="s">
        <v>17</v>
      </c>
      <c r="I66" s="109" t="s">
        <v>143</v>
      </c>
      <c r="P66" s="119" t="s">
        <v>23</v>
      </c>
      <c r="Q66" s="101"/>
      <c r="R66" s="101"/>
      <c r="S66" s="101"/>
      <c r="T66" s="101"/>
      <c r="U66" s="101"/>
      <c r="V66" s="101"/>
    </row>
    <row r="67" spans="1:22">
      <c r="A67" s="97"/>
      <c r="D67" s="60" t="s">
        <v>56</v>
      </c>
      <c r="E67" s="61">
        <v>2</v>
      </c>
      <c r="F67" s="61">
        <v>2</v>
      </c>
      <c r="H67" s="99" t="s">
        <v>3</v>
      </c>
      <c r="I67" s="109" t="s">
        <v>144</v>
      </c>
      <c r="P67" s="99" t="s">
        <v>21</v>
      </c>
      <c r="Q67" s="114" t="s">
        <v>167</v>
      </c>
      <c r="R67" s="115"/>
      <c r="S67" s="115"/>
      <c r="T67" s="115"/>
      <c r="U67" s="115"/>
      <c r="V67" s="115"/>
    </row>
    <row r="68" spans="1:22">
      <c r="A68" s="97"/>
      <c r="D68" s="60" t="s">
        <v>57</v>
      </c>
      <c r="E68" s="61">
        <v>2</v>
      </c>
      <c r="F68" s="61">
        <v>2</v>
      </c>
      <c r="H68" s="99" t="s">
        <v>18</v>
      </c>
      <c r="I68" s="109" t="s">
        <v>145</v>
      </c>
      <c r="P68" s="99" t="s">
        <v>18</v>
      </c>
      <c r="Q68" s="118" t="s">
        <v>166</v>
      </c>
      <c r="R68" s="92"/>
      <c r="S68" s="92"/>
      <c r="T68" s="92"/>
      <c r="U68" s="92"/>
      <c r="V68" s="92"/>
    </row>
    <row r="69" spans="1:22">
      <c r="A69" s="97"/>
      <c r="D69" s="60" t="s">
        <v>58</v>
      </c>
      <c r="E69" s="61">
        <v>3</v>
      </c>
      <c r="F69" s="61">
        <v>3</v>
      </c>
      <c r="H69" s="99" t="s">
        <v>19</v>
      </c>
      <c r="I69" s="118" t="s">
        <v>146</v>
      </c>
      <c r="J69" s="92"/>
      <c r="K69" s="92"/>
      <c r="L69" s="92"/>
      <c r="M69" s="92"/>
      <c r="N69" s="92"/>
      <c r="P69" s="109"/>
    </row>
    <row r="70" spans="1:22" ht="15" customHeight="1">
      <c r="A70" s="97"/>
      <c r="D70" s="60" t="s">
        <v>59</v>
      </c>
      <c r="E70" s="61">
        <v>0</v>
      </c>
      <c r="F70" s="61">
        <v>0</v>
      </c>
      <c r="H70" s="114"/>
      <c r="P70" s="108"/>
    </row>
    <row r="71" spans="1:22">
      <c r="A71" s="97"/>
      <c r="H71" s="109"/>
      <c r="P71" s="109"/>
    </row>
    <row r="72" spans="1:22" ht="15" customHeight="1">
      <c r="A72" s="100" t="s">
        <v>345</v>
      </c>
      <c r="B72" s="101"/>
      <c r="C72" s="101"/>
      <c r="D72" s="98" t="s">
        <v>345</v>
      </c>
      <c r="E72" s="59" t="s">
        <v>28</v>
      </c>
      <c r="F72" s="59" t="s">
        <v>29</v>
      </c>
      <c r="H72" s="109"/>
      <c r="P72" s="109"/>
    </row>
    <row r="73" spans="1:22">
      <c r="A73" s="97"/>
      <c r="D73" s="60" t="s">
        <v>63</v>
      </c>
      <c r="E73" s="61">
        <v>2</v>
      </c>
      <c r="F73" s="61">
        <v>3</v>
      </c>
      <c r="H73" s="109"/>
      <c r="P73" s="109"/>
    </row>
    <row r="74" spans="1:22" ht="15" customHeight="1">
      <c r="A74" s="97"/>
      <c r="D74" s="60" t="s">
        <v>64</v>
      </c>
      <c r="E74" s="61">
        <v>1</v>
      </c>
      <c r="F74" s="61">
        <v>1</v>
      </c>
      <c r="H74" s="109"/>
      <c r="P74" s="109"/>
    </row>
    <row r="75" spans="1:22">
      <c r="A75" s="97"/>
      <c r="D75" s="60" t="s">
        <v>374</v>
      </c>
      <c r="E75" s="61">
        <v>1</v>
      </c>
      <c r="F75" s="61">
        <v>1</v>
      </c>
      <c r="H75" s="109"/>
      <c r="P75" s="109"/>
    </row>
    <row r="76" spans="1:22">
      <c r="A76" s="97"/>
      <c r="D76" s="60" t="s">
        <v>65</v>
      </c>
      <c r="E76" s="61">
        <v>3</v>
      </c>
      <c r="F76" s="61">
        <v>2</v>
      </c>
      <c r="H76" s="109"/>
      <c r="P76" s="109"/>
    </row>
    <row r="77" spans="1:22">
      <c r="A77" s="97"/>
      <c r="H77" s="109"/>
      <c r="P77" s="109"/>
    </row>
    <row r="78" spans="1:22">
      <c r="A78" s="100" t="s">
        <v>346</v>
      </c>
      <c r="B78" s="101"/>
      <c r="C78" s="101"/>
      <c r="D78" s="98" t="s">
        <v>346</v>
      </c>
      <c r="E78" s="59" t="s">
        <v>28</v>
      </c>
      <c r="F78" s="59" t="s">
        <v>29</v>
      </c>
      <c r="H78" s="109"/>
      <c r="P78" s="109"/>
    </row>
    <row r="79" spans="1:22">
      <c r="A79" s="97"/>
      <c r="D79" s="60" t="s">
        <v>68</v>
      </c>
      <c r="E79" s="61">
        <v>3</v>
      </c>
      <c r="F79" s="61">
        <v>3</v>
      </c>
      <c r="H79" s="109"/>
      <c r="P79" s="109"/>
    </row>
    <row r="80" spans="1:22">
      <c r="A80" s="97"/>
      <c r="D80" s="60" t="s">
        <v>69</v>
      </c>
      <c r="E80" s="61">
        <v>2</v>
      </c>
      <c r="F80" s="61">
        <v>2</v>
      </c>
      <c r="H80" s="109"/>
      <c r="P80" s="109"/>
    </row>
    <row r="81" spans="1:16">
      <c r="A81" s="97"/>
      <c r="D81" s="60" t="s">
        <v>70</v>
      </c>
      <c r="E81" s="61">
        <v>1</v>
      </c>
      <c r="F81" s="61">
        <v>1</v>
      </c>
      <c r="H81" s="109"/>
      <c r="P81" s="109"/>
    </row>
    <row r="82" spans="1:16">
      <c r="A82" s="97"/>
      <c r="D82" s="60" t="s">
        <v>71</v>
      </c>
      <c r="E82" s="61">
        <v>0</v>
      </c>
      <c r="F82" s="61">
        <v>0</v>
      </c>
      <c r="H82" s="109"/>
      <c r="P82" s="109"/>
    </row>
    <row r="83" spans="1:16">
      <c r="A83" s="1"/>
      <c r="P83" s="109"/>
    </row>
    <row r="84" spans="1:16">
      <c r="A84" s="100" t="s">
        <v>72</v>
      </c>
      <c r="B84" s="101"/>
      <c r="C84" s="101"/>
      <c r="D84" s="101"/>
      <c r="E84" s="101"/>
      <c r="F84" s="101"/>
      <c r="P84" s="109"/>
    </row>
    <row r="85" spans="1:16">
      <c r="A85" s="1"/>
      <c r="C85" s="1" t="s">
        <v>373</v>
      </c>
      <c r="D85" s="98" t="s">
        <v>347</v>
      </c>
      <c r="P85" s="109"/>
    </row>
    <row r="86" spans="1:16">
      <c r="A86" s="129"/>
      <c r="B86" s="127"/>
      <c r="C86" s="60">
        <v>8</v>
      </c>
      <c r="D86" s="60" t="s">
        <v>20</v>
      </c>
      <c r="E86" s="114" t="s">
        <v>351</v>
      </c>
      <c r="F86" s="114" t="s">
        <v>351</v>
      </c>
      <c r="G86" s="114" t="s">
        <v>189</v>
      </c>
      <c r="H86" s="115"/>
      <c r="I86" s="115"/>
      <c r="J86" s="115"/>
      <c r="K86" s="115"/>
      <c r="L86" s="115"/>
      <c r="M86" s="115"/>
      <c r="N86" s="115"/>
      <c r="O86" s="115"/>
      <c r="P86" s="109"/>
    </row>
    <row r="87" spans="1:16">
      <c r="A87" s="1"/>
      <c r="C87" s="60">
        <v>13</v>
      </c>
      <c r="D87" s="60" t="s">
        <v>17</v>
      </c>
      <c r="E87" s="60" t="s">
        <v>351</v>
      </c>
      <c r="F87" s="60" t="s">
        <v>351</v>
      </c>
      <c r="G87" s="109" t="s">
        <v>190</v>
      </c>
      <c r="P87" s="109"/>
    </row>
    <row r="88" spans="1:16">
      <c r="A88" s="1"/>
      <c r="C88" s="60">
        <v>19</v>
      </c>
      <c r="D88" s="60" t="s">
        <v>3</v>
      </c>
      <c r="E88" s="60" t="s">
        <v>352</v>
      </c>
      <c r="F88" s="60" t="s">
        <v>353</v>
      </c>
      <c r="G88" s="109" t="s">
        <v>191</v>
      </c>
      <c r="P88" s="109"/>
    </row>
    <row r="89" spans="1:16">
      <c r="A89" s="1"/>
      <c r="C89" s="60">
        <v>22</v>
      </c>
      <c r="D89" s="60" t="s">
        <v>18</v>
      </c>
      <c r="E89" s="60" t="s">
        <v>352</v>
      </c>
      <c r="F89" s="60" t="s">
        <v>353</v>
      </c>
      <c r="G89" s="109" t="s">
        <v>192</v>
      </c>
      <c r="P89" s="109"/>
    </row>
    <row r="90" spans="1:16">
      <c r="A90" s="1"/>
      <c r="C90" s="60"/>
      <c r="D90" s="60" t="s">
        <v>19</v>
      </c>
      <c r="E90" s="60" t="s">
        <v>352</v>
      </c>
      <c r="F90" s="60" t="s">
        <v>353</v>
      </c>
      <c r="G90" s="118" t="s">
        <v>193</v>
      </c>
      <c r="H90" s="92"/>
      <c r="I90" s="92"/>
      <c r="J90" s="92"/>
      <c r="K90" s="92"/>
      <c r="L90" s="92"/>
      <c r="M90" s="92"/>
      <c r="N90" s="92"/>
      <c r="O90" s="92"/>
      <c r="P90" s="109"/>
    </row>
    <row r="91" spans="1:16">
      <c r="A91" s="1"/>
      <c r="O91" s="116"/>
      <c r="P91" s="109"/>
    </row>
    <row r="92" spans="1:16">
      <c r="A92" s="100" t="s">
        <v>147</v>
      </c>
      <c r="B92" s="101"/>
      <c r="C92" s="101"/>
      <c r="D92" s="60" t="s">
        <v>148</v>
      </c>
      <c r="O92" s="117"/>
      <c r="P92" s="109"/>
    </row>
    <row r="93" spans="1:16">
      <c r="D93" s="60" t="s">
        <v>149</v>
      </c>
      <c r="O93" s="117"/>
      <c r="P93" s="109"/>
    </row>
    <row r="94" spans="1:16">
      <c r="D94" s="60" t="s">
        <v>150</v>
      </c>
      <c r="O94" s="117"/>
      <c r="P94" s="109"/>
    </row>
    <row r="95" spans="1:16">
      <c r="P95" s="109"/>
    </row>
    <row r="96" spans="1:16">
      <c r="P96" s="109"/>
    </row>
    <row r="97" spans="1:16">
      <c r="A97" s="100" t="s">
        <v>205</v>
      </c>
      <c r="B97" s="101"/>
      <c r="C97" s="101"/>
      <c r="P97" s="109"/>
    </row>
    <row r="98" spans="1:16">
      <c r="B98" s="2"/>
      <c r="C98" s="2"/>
      <c r="D98" s="267" t="s">
        <v>150</v>
      </c>
      <c r="E98" s="267"/>
      <c r="F98" s="59" t="s">
        <v>149</v>
      </c>
      <c r="G98" s="59"/>
      <c r="H98" s="59" t="s">
        <v>148</v>
      </c>
      <c r="I98" s="98"/>
      <c r="P98" s="109"/>
    </row>
    <row r="99" spans="1:16">
      <c r="B99" s="2"/>
      <c r="C99" s="2"/>
      <c r="D99" s="267" t="s">
        <v>194</v>
      </c>
      <c r="E99" s="267"/>
      <c r="F99" s="59" t="s">
        <v>195</v>
      </c>
      <c r="G99" s="59"/>
      <c r="H99" s="59" t="s">
        <v>196</v>
      </c>
      <c r="I99" s="98"/>
    </row>
    <row r="100" spans="1:16">
      <c r="B100" s="2"/>
      <c r="C100" s="2"/>
      <c r="D100" s="59" t="s">
        <v>197</v>
      </c>
      <c r="E100" s="59" t="s">
        <v>198</v>
      </c>
      <c r="F100" s="59" t="s">
        <v>197</v>
      </c>
      <c r="G100" s="59" t="s">
        <v>198</v>
      </c>
      <c r="H100" s="59" t="s">
        <v>197</v>
      </c>
      <c r="I100" s="59" t="s">
        <v>198</v>
      </c>
    </row>
    <row r="101" spans="1:16">
      <c r="B101" s="61" t="s">
        <v>199</v>
      </c>
      <c r="C101" s="61" t="s">
        <v>200</v>
      </c>
      <c r="D101" s="61">
        <v>0</v>
      </c>
      <c r="E101" s="61">
        <v>2</v>
      </c>
      <c r="F101" s="61">
        <v>2</v>
      </c>
      <c r="G101" s="61">
        <v>3</v>
      </c>
      <c r="H101" s="61">
        <v>3</v>
      </c>
      <c r="I101" s="61">
        <v>5</v>
      </c>
    </row>
    <row r="102" spans="1:16">
      <c r="B102" s="64" t="s">
        <v>201</v>
      </c>
      <c r="C102" s="61" t="s">
        <v>202</v>
      </c>
      <c r="D102" s="61">
        <v>20</v>
      </c>
      <c r="E102" s="61">
        <v>25</v>
      </c>
      <c r="F102" s="61">
        <v>25</v>
      </c>
      <c r="G102" s="61">
        <v>30</v>
      </c>
      <c r="H102" s="61">
        <v>30</v>
      </c>
      <c r="I102" s="61">
        <v>35</v>
      </c>
    </row>
    <row r="103" spans="1:16">
      <c r="B103" s="64" t="s">
        <v>203</v>
      </c>
      <c r="C103" s="61" t="s">
        <v>204</v>
      </c>
      <c r="D103" s="61">
        <v>10</v>
      </c>
      <c r="E103" s="61">
        <v>10.5</v>
      </c>
      <c r="F103" s="61">
        <v>10</v>
      </c>
      <c r="G103" s="61">
        <v>10.5</v>
      </c>
      <c r="H103" s="61">
        <v>10</v>
      </c>
      <c r="I103" s="61">
        <v>10.5</v>
      </c>
    </row>
    <row r="104" spans="1:16">
      <c r="P104" s="109"/>
    </row>
    <row r="105" spans="1:16">
      <c r="P105" s="109"/>
    </row>
    <row r="106" spans="1:16">
      <c r="A106" s="100" t="s">
        <v>313</v>
      </c>
      <c r="B106" s="101"/>
      <c r="C106" s="101"/>
      <c r="D106" s="101"/>
      <c r="E106" s="101"/>
      <c r="F106" s="101"/>
      <c r="P106" s="109"/>
    </row>
    <row r="107" spans="1:16">
      <c r="B107" s="93" t="s">
        <v>311</v>
      </c>
      <c r="P107" s="109"/>
    </row>
    <row r="108" spans="1:16">
      <c r="B108" s="93" t="s">
        <v>310</v>
      </c>
      <c r="P108" s="109"/>
    </row>
    <row r="109" spans="1:16">
      <c r="B109" s="93" t="s">
        <v>312</v>
      </c>
      <c r="P109" s="109"/>
    </row>
    <row r="110" spans="1:16">
      <c r="B110" s="93" t="s">
        <v>348</v>
      </c>
      <c r="P110" s="109"/>
    </row>
    <row r="111" spans="1:16" ht="15" customHeight="1">
      <c r="P111" s="109"/>
    </row>
    <row r="112" spans="1:16">
      <c r="B112" s="86" t="s">
        <v>281</v>
      </c>
      <c r="C112" s="87"/>
      <c r="D112" s="88" t="s">
        <v>282</v>
      </c>
      <c r="E112" s="87" t="s">
        <v>283</v>
      </c>
      <c r="F112" s="82"/>
      <c r="G112" s="82"/>
      <c r="H112" s="82"/>
      <c r="I112" s="83"/>
      <c r="P112" s="109"/>
    </row>
    <row r="113" spans="2:16" ht="15" customHeight="1">
      <c r="B113" s="102"/>
      <c r="C113" s="103"/>
      <c r="D113" s="104"/>
      <c r="E113" s="103"/>
      <c r="F113" s="105"/>
      <c r="G113" s="105"/>
      <c r="H113" s="105"/>
      <c r="I113" s="106"/>
      <c r="P113" s="109"/>
    </row>
    <row r="114" spans="2:16" ht="105">
      <c r="B114" s="10" t="s">
        <v>148</v>
      </c>
      <c r="C114" s="4"/>
      <c r="D114" s="84" t="s">
        <v>196</v>
      </c>
      <c r="E114" s="133" t="s">
        <v>284</v>
      </c>
      <c r="F114" s="9"/>
      <c r="G114" s="9"/>
      <c r="H114" s="9"/>
      <c r="I114" s="134"/>
      <c r="P114" s="109"/>
    </row>
    <row r="115" spans="2:16" ht="15" customHeight="1">
      <c r="B115" s="10"/>
      <c r="C115" s="4"/>
      <c r="D115" s="84"/>
      <c r="E115" s="135"/>
      <c r="F115" s="41"/>
      <c r="G115" s="41"/>
      <c r="H115" s="41"/>
      <c r="I115" s="136"/>
      <c r="P115" s="109"/>
    </row>
    <row r="116" spans="2:16" ht="75">
      <c r="B116" s="89" t="s">
        <v>149</v>
      </c>
      <c r="C116" s="90"/>
      <c r="D116" s="91" t="s">
        <v>287</v>
      </c>
      <c r="E116" s="137" t="s">
        <v>285</v>
      </c>
      <c r="F116" s="138"/>
      <c r="G116" s="138"/>
      <c r="H116" s="138"/>
      <c r="I116" s="139"/>
      <c r="P116" s="109"/>
    </row>
    <row r="117" spans="2:16">
      <c r="B117" s="40"/>
      <c r="C117" s="30"/>
      <c r="D117" s="85"/>
      <c r="E117" s="135"/>
      <c r="F117" s="41"/>
      <c r="G117" s="41"/>
      <c r="H117" s="41"/>
      <c r="I117" s="136"/>
      <c r="P117" s="109"/>
    </row>
    <row r="118" spans="2:16" ht="90">
      <c r="B118" s="10" t="s">
        <v>150</v>
      </c>
      <c r="C118" s="4"/>
      <c r="D118" s="84" t="s">
        <v>194</v>
      </c>
      <c r="E118" s="137" t="s">
        <v>286</v>
      </c>
      <c r="F118" s="138"/>
      <c r="G118" s="138"/>
      <c r="H118" s="138"/>
      <c r="I118" s="139"/>
      <c r="P118" s="109"/>
    </row>
    <row r="119" spans="2:16">
      <c r="B119" s="10"/>
      <c r="C119" s="4"/>
      <c r="D119" s="84"/>
      <c r="E119" s="133"/>
      <c r="F119" s="9"/>
      <c r="G119" s="9"/>
      <c r="H119" s="9"/>
      <c r="I119" s="134"/>
      <c r="P119" s="109"/>
    </row>
    <row r="120" spans="2:16">
      <c r="B120" s="40"/>
      <c r="C120" s="30"/>
      <c r="D120" s="85"/>
      <c r="E120" s="135"/>
      <c r="F120" s="41"/>
      <c r="G120" s="41"/>
      <c r="H120" s="41"/>
      <c r="I120" s="136"/>
      <c r="P120" s="109"/>
    </row>
    <row r="121" spans="2:16">
      <c r="P121" s="109"/>
    </row>
    <row r="122" spans="2:16">
      <c r="P122" s="109"/>
    </row>
    <row r="123" spans="2:16">
      <c r="P123" s="109"/>
    </row>
    <row r="124" spans="2:16">
      <c r="P124" s="109"/>
    </row>
  </sheetData>
  <customSheetViews>
    <customSheetView guid="{29A0FFCF-8AE3-4D83-B2A0-5792604909C6}" state="hidden" topLeftCell="Q13">
      <pageMargins left="0.7" right="0.7" top="0.75" bottom="0.75" header="0.3" footer="0.3"/>
      <pageSetup paperSize="9" orientation="portrait" r:id="rId1"/>
    </customSheetView>
    <customSheetView guid="{F17311CF-9914-40DA-8951-266454DC12F5}" state="hidden" topLeftCell="Q13">
      <pageMargins left="0.7" right="0.7" top="0.75" bottom="0.75" header="0.3" footer="0.3"/>
      <pageSetup paperSize="9" orientation="portrait" r:id="rId2"/>
    </customSheetView>
    <customSheetView guid="{FC848FF0-660B-4750-8525-7139E9D1F87C}" state="hidden" topLeftCell="Q13">
      <pageMargins left="0.7" right="0.7" top="0.75" bottom="0.75" header="0.3" footer="0.3"/>
      <pageSetup paperSize="9" orientation="portrait" r:id="rId3"/>
    </customSheetView>
    <customSheetView guid="{F08D193B-2F97-40D9-A4DD-4A4E62D6CC62}" state="hidden" topLeftCell="Q13">
      <pageMargins left="0.7" right="0.7" top="0.75" bottom="0.75" header="0.3" footer="0.3"/>
      <pageSetup paperSize="9" orientation="portrait" r:id="rId4"/>
    </customSheetView>
    <customSheetView guid="{B7C3FE13-4183-40D1-BE36-A4B701770209}" state="hidden" topLeftCell="Q13">
      <pageMargins left="0.7" right="0.7" top="0.75" bottom="0.75" header="0.3" footer="0.3"/>
      <pageSetup paperSize="9" orientation="portrait" r:id="rId5"/>
    </customSheetView>
  </customSheetViews>
  <mergeCells count="4">
    <mergeCell ref="P47:P48"/>
    <mergeCell ref="E11:G11"/>
    <mergeCell ref="D98:E98"/>
    <mergeCell ref="D99:E99"/>
  </mergeCells>
  <phoneticPr fontId="36" type="noConversion"/>
  <conditionalFormatting sqref="V17:AB28">
    <cfRule type="cellIs" dxfId="4" priority="1" operator="lessThan">
      <formula>5</formula>
    </cfRule>
    <cfRule type="cellIs" dxfId="3" priority="2" operator="between">
      <formula>5</formula>
      <formula>20</formula>
    </cfRule>
    <cfRule type="cellIs" dxfId="2" priority="3" operator="between">
      <formula>20</formula>
      <formula>50</formula>
    </cfRule>
    <cfRule type="cellIs" dxfId="1" priority="4" operator="between">
      <formula>100</formula>
      <formula>50</formula>
    </cfRule>
    <cfRule type="cellIs" dxfId="0" priority="5" operator="greaterThanOrEqual">
      <formula>100</formula>
    </cfRule>
  </conditionalFormatting>
  <pageMargins left="0.7" right="0.7" top="0.75" bottom="0.75" header="0.3" footer="0.3"/>
  <pageSetup paperSize="9" orientation="portrait"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71FFD1B571BE2883E0537D20C80A46C7" version="1.0.0">
  <systemFields>
    <field name="Objective-Id">
      <value order="0">A3967034</value>
    </field>
    <field name="Objective-Title">
      <value order="0">0 - PeatlandACTION Blanket Bog Protocol v1.3 ISSUE - March 2023</value>
    </field>
    <field name="Objective-Description">
      <value order="0"/>
    </field>
    <field name="Objective-CreationStamp">
      <value order="0">2023-04-20T12:58:36Z</value>
    </field>
    <field name="Objective-IsApproved">
      <value order="0">false</value>
    </field>
    <field name="Objective-IsPublished">
      <value order="0">true</value>
    </field>
    <field name="Objective-DatePublished">
      <value order="0">2023-04-20T13:02:15Z</value>
    </field>
    <field name="Objective-ModificationStamp">
      <value order="0">2023-04-20T13:04:30Z</value>
    </field>
    <field name="Objective-Owner">
      <value order="0">Christina Wood</value>
    </field>
    <field name="Objective-Path">
      <value order="0">Objective Global Folder:NatureScot Fileplan:NAT - Natural Environments:PEAT - Peat and Fens:PA - Peatland Action:PRO - Projects:Peatland Action - Projects - Peatslide Risks - Addressing Peatslide Risks in PA Restoration Activities (ibid 017197) - 2018/2019</value>
    </field>
    <field name="Objective-Parent">
      <value order="0">Peatland Action - Projects - Peatslide Risks - Addressing Peatslide Risks in PA Restoration Activities (ibid 017197) - 2018/2019</value>
    </field>
    <field name="Objective-State">
      <value order="0">Published</value>
    </field>
    <field name="Objective-VersionId">
      <value order="0">vA6952897</value>
    </field>
    <field name="Objective-Version">
      <value order="0">1.0</value>
    </field>
    <field name="Objective-VersionNumber">
      <value order="0">1</value>
    </field>
    <field name="Objective-VersionComment">
      <value order="0"/>
    </field>
    <field name="Objective-FileNumber">
      <value order="0">qA157639</value>
    </field>
    <field name="Objective-Classification">
      <value order="0"/>
    </field>
    <field name="Objective-Caveats">
      <value order="0"/>
    </field>
  </systemFields>
  <catalogues>
    <catalogue name="Document Type Catalogue" type="type" ori="id:cA8">
      <field name="Objective-Date of Original">
        <value order="0"/>
      </field>
      <field name="Objective-Sensitivity Review Date">
        <value order="0"/>
      </field>
      <field name="Objective-FOI Exemption">
        <value order="0">Release</value>
      </field>
      <field name="Objective-DPA Exemption">
        <value order="0">Release</value>
      </field>
      <field name="Objective-EIR Exception">
        <value order="0">Release</value>
      </field>
      <field name="Objective-Justification">
        <value order="0"/>
      </field>
      <field name="Objective-Date of Request">
        <value order="0"/>
      </field>
      <field name="Objective-Date of Release">
        <value order="0"/>
      </field>
      <field name="Objective-FOI/EIR Disclosure Date">
        <value order="0"/>
      </field>
      <field name="Objective-FOI/EIR Dissemination Date">
        <value order="0"/>
      </field>
      <field name="Objective-FOI Release Details">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71FFD1B571BE2883E0537D20C80A46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Front Sheet</vt:lpstr>
      <vt:lpstr>1. Pre-Restoration Likelihood</vt:lpstr>
      <vt:lpstr>2. Post-restoration Likelihood</vt:lpstr>
      <vt:lpstr>3. Consequence and Risk</vt:lpstr>
      <vt:lpstr>Summary Form</vt:lpstr>
      <vt:lpstr>Drop Down Options</vt:lpstr>
      <vt:lpstr>'Summary Form'!Print_Area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Mills</dc:creator>
  <cp:lastModifiedBy>Andy Mills</cp:lastModifiedBy>
  <cp:lastPrinted>2024-02-26T13:51:00Z</cp:lastPrinted>
  <dcterms:created xsi:type="dcterms:W3CDTF">2019-11-26T18:00:38Z</dcterms:created>
  <dcterms:modified xsi:type="dcterms:W3CDTF">2026-02-23T16:12:18Z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A3967034</vt:lpwstr>
  </property>
  <property fmtid="{D5CDD505-2E9C-101B-9397-08002B2CF9AE}" pid="4" name="Objective-Title">
    <vt:lpwstr>0 - PeatlandACTION Blanket Bog Protocol v1.3 ISSUE - March 2023</vt:lpwstr>
  </property>
  <property fmtid="{D5CDD505-2E9C-101B-9397-08002B2CF9AE}" pid="5" name="Objective-Description">
    <vt:lpwstr/>
  </property>
  <property fmtid="{D5CDD505-2E9C-101B-9397-08002B2CF9AE}" pid="6" name="Objective-CreationStamp">
    <vt:filetime>2023-04-20T12:58:36Z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2023-04-20T13:02:15Z</vt:filetime>
  </property>
  <property fmtid="{D5CDD505-2E9C-101B-9397-08002B2CF9AE}" pid="10" name="Objective-ModificationStamp">
    <vt:filetime>2023-04-20T13:04:30Z</vt:filetime>
  </property>
  <property fmtid="{D5CDD505-2E9C-101B-9397-08002B2CF9AE}" pid="11" name="Objective-Owner">
    <vt:lpwstr>Christina Wood</vt:lpwstr>
  </property>
  <property fmtid="{D5CDD505-2E9C-101B-9397-08002B2CF9AE}" pid="12" name="Objective-Path">
    <vt:lpwstr>Objective Global Folder:NatureScot Fileplan:NAT - Natural Environments:PEAT - Peat and Fens:PA - Peatland Action:PRO - Projects:Peatland Action - Projects - Peatslide Risks - Addressing Peatslide Risks in PA Restoration Activities (ibid 017197) - 2018/201</vt:lpwstr>
  </property>
  <property fmtid="{D5CDD505-2E9C-101B-9397-08002B2CF9AE}" pid="13" name="Objective-Parent">
    <vt:lpwstr>Peatland Action - Projects - Peatslide Risks - Addressing Peatslide Risks in PA Restoration Activities (ibid 017197) - 2018/2019</vt:lpwstr>
  </property>
  <property fmtid="{D5CDD505-2E9C-101B-9397-08002B2CF9AE}" pid="14" name="Objective-State">
    <vt:lpwstr>Published</vt:lpwstr>
  </property>
  <property fmtid="{D5CDD505-2E9C-101B-9397-08002B2CF9AE}" pid="15" name="Objective-VersionId">
    <vt:lpwstr>vA6952897</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qA157639</vt:lpwstr>
  </property>
  <property fmtid="{D5CDD505-2E9C-101B-9397-08002B2CF9AE}" pid="20" name="Objective-Classification">
    <vt:lpwstr/>
  </property>
  <property fmtid="{D5CDD505-2E9C-101B-9397-08002B2CF9AE}" pid="21" name="Objective-Caveats">
    <vt:lpwstr/>
  </property>
  <property fmtid="{D5CDD505-2E9C-101B-9397-08002B2CF9AE}" pid="22" name="Objective-Date of Original">
    <vt:lpwstr/>
  </property>
  <property fmtid="{D5CDD505-2E9C-101B-9397-08002B2CF9AE}" pid="23" name="Objective-Sensitivity Review Date">
    <vt:lpwstr/>
  </property>
  <property fmtid="{D5CDD505-2E9C-101B-9397-08002B2CF9AE}" pid="24" name="Objective-FOI Exemption">
    <vt:lpwstr>Release</vt:lpwstr>
  </property>
  <property fmtid="{D5CDD505-2E9C-101B-9397-08002B2CF9AE}" pid="25" name="Objective-DPA Exemption">
    <vt:lpwstr>Release</vt:lpwstr>
  </property>
  <property fmtid="{D5CDD505-2E9C-101B-9397-08002B2CF9AE}" pid="26" name="Objective-EIR Exception">
    <vt:lpwstr>Release</vt:lpwstr>
  </property>
  <property fmtid="{D5CDD505-2E9C-101B-9397-08002B2CF9AE}" pid="27" name="Objective-Justification">
    <vt:lpwstr/>
  </property>
  <property fmtid="{D5CDD505-2E9C-101B-9397-08002B2CF9AE}" pid="28" name="Objective-Date of Request">
    <vt:lpwstr/>
  </property>
  <property fmtid="{D5CDD505-2E9C-101B-9397-08002B2CF9AE}" pid="29" name="Objective-Date of Release">
    <vt:lpwstr/>
  </property>
  <property fmtid="{D5CDD505-2E9C-101B-9397-08002B2CF9AE}" pid="30" name="Objective-FOI/EIR Disclosure Date">
    <vt:lpwstr/>
  </property>
  <property fmtid="{D5CDD505-2E9C-101B-9397-08002B2CF9AE}" pid="31" name="Objective-FOI/EIR Dissemination Date">
    <vt:lpwstr/>
  </property>
  <property fmtid="{D5CDD505-2E9C-101B-9397-08002B2CF9AE}" pid="32" name="Objective-FOI Release Details">
    <vt:lpwstr/>
  </property>
  <property fmtid="{D5CDD505-2E9C-101B-9397-08002B2CF9AE}" pid="33" name="Objective-Connect Creator">
    <vt:lpwstr/>
  </property>
</Properties>
</file>